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horban\Desktop\"/>
    </mc:Choice>
  </mc:AlternateContent>
  <xr:revisionPtr revIDLastSave="0" documentId="8_{BE1241B3-CAE3-364E-AD4F-C33F16514E69}" xr6:coauthVersionLast="47" xr6:coauthVersionMax="47" xr10:uidLastSave="{00000000-0000-0000-0000-000000000000}"/>
  <bookViews>
    <workbookView xWindow="-120" yWindow="-120" windowWidth="29040" windowHeight="15720" activeTab="1" xr2:uid="{8D8175A2-05D0-436C-93AC-33B3E090FC17}"/>
  </bookViews>
  <sheets>
    <sheet name="INTER DATA" sheetId="1" r:id="rId1"/>
    <sheet name="ENG Invoice" sheetId="22" r:id="rId2"/>
    <sheet name="Proforma" sheetId="12" r:id="rId3"/>
    <sheet name="Invoice" sheetId="19" r:id="rId4"/>
    <sheet name="CUSTOMER REPORT" sheetId="18" r:id="rId5"/>
    <sheet name="CUSTOMER LIST &amp; TRACKING" sheetId="15" r:id="rId6"/>
    <sheet name="ACOUNT " sheetId="5" r:id="rId7"/>
  </sheets>
  <externalReferences>
    <externalReference r:id="rId8"/>
  </externalReferences>
  <definedNames>
    <definedName name="_xlnm._FilterDatabase" localSheetId="6" hidden="1">'ACOUNT '!$A$1:$Q$3</definedName>
    <definedName name="_xlnm._FilterDatabase" localSheetId="0" hidden="1">'INTER DATA'!$A$1:$BA$5</definedName>
    <definedName name="Customer">[1]!Table1[Customer]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22" l="1"/>
  <c r="D4" i="22"/>
  <c r="C15" i="22"/>
  <c r="F23" i="22"/>
  <c r="AA4" i="1"/>
  <c r="AA5" i="1"/>
  <c r="AA6" i="1"/>
  <c r="AA7" i="1"/>
  <c r="AA8" i="1"/>
  <c r="AA9" i="1"/>
  <c r="AA10" i="1"/>
  <c r="AA11" i="1"/>
  <c r="AC4" i="1"/>
  <c r="AC5" i="1"/>
  <c r="AC6" i="1"/>
  <c r="AD6" i="1"/>
  <c r="AC7" i="1"/>
  <c r="AD7" i="1"/>
  <c r="AC8" i="1"/>
  <c r="AD8" i="1"/>
  <c r="AC9" i="1"/>
  <c r="AD9" i="1"/>
  <c r="AC10" i="1"/>
  <c r="AD10" i="1"/>
  <c r="AC11" i="1"/>
  <c r="AD11" i="1"/>
  <c r="F18" i="22"/>
  <c r="E14" i="22"/>
  <c r="H8" i="22"/>
  <c r="B3" i="19"/>
  <c r="G27" i="22"/>
  <c r="G26" i="22"/>
  <c r="G25" i="22"/>
  <c r="G24" i="22"/>
  <c r="G22" i="22"/>
  <c r="G21" i="22"/>
  <c r="G20" i="22"/>
  <c r="G19" i="22"/>
  <c r="AP6" i="1"/>
  <c r="E12" i="19"/>
  <c r="E19" i="12"/>
  <c r="AP11" i="1"/>
  <c r="AP10" i="1"/>
  <c r="AP9" i="1"/>
  <c r="AP8" i="1"/>
  <c r="AP7" i="1"/>
  <c r="AJ3" i="1"/>
  <c r="AC3" i="1"/>
  <c r="AK3" i="1"/>
  <c r="X3" i="1"/>
  <c r="F20" i="19"/>
  <c r="E20" i="19"/>
  <c r="F20" i="12"/>
  <c r="G20" i="12"/>
  <c r="AY2" i="1"/>
  <c r="AY3" i="1"/>
  <c r="AY4" i="1"/>
  <c r="AY5" i="1"/>
  <c r="AU2" i="1"/>
  <c r="AU3" i="1"/>
  <c r="AU4" i="1"/>
  <c r="AU5" i="1"/>
  <c r="AW2" i="1"/>
  <c r="AW3" i="1"/>
  <c r="AW4" i="1"/>
  <c r="AW5" i="1"/>
  <c r="B9" i="18"/>
  <c r="AC2" i="1"/>
  <c r="AK2" i="1"/>
  <c r="P4" i="1"/>
  <c r="AD4" i="1"/>
  <c r="P5" i="1"/>
  <c r="AD5" i="1"/>
  <c r="P2" i="1"/>
  <c r="AD2" i="1"/>
  <c r="AG2" i="1"/>
  <c r="AD3" i="1"/>
  <c r="AG3" i="1"/>
  <c r="Y2" i="1"/>
  <c r="T2" i="1"/>
  <c r="F23" i="19"/>
  <c r="E19" i="19"/>
  <c r="E11" i="19"/>
  <c r="G8" i="19"/>
  <c r="E7" i="19"/>
  <c r="G6" i="19"/>
  <c r="G8" i="12"/>
  <c r="E7" i="12"/>
  <c r="E11" i="12"/>
  <c r="H23" i="22"/>
  <c r="H30" i="22"/>
  <c r="E23" i="22"/>
  <c r="G23" i="22"/>
  <c r="C14" i="22"/>
  <c r="G14" i="22"/>
  <c r="F12" i="19"/>
  <c r="G12" i="19"/>
  <c r="E8" i="19"/>
  <c r="Y3" i="1"/>
  <c r="T3" i="1"/>
  <c r="V3" i="1"/>
  <c r="G20" i="19"/>
  <c r="G23" i="19"/>
  <c r="V2" i="1"/>
  <c r="AA2" i="1"/>
  <c r="AL3" i="1"/>
  <c r="AP3" i="1"/>
  <c r="AH3" i="1"/>
  <c r="AL2" i="1"/>
  <c r="AP2" i="1"/>
  <c r="AH2" i="1"/>
  <c r="H18" i="22"/>
  <c r="G30" i="22"/>
  <c r="I14" i="22"/>
  <c r="E18" i="22"/>
  <c r="AA3" i="1"/>
  <c r="E6" i="19"/>
  <c r="C19" i="19"/>
  <c r="F19" i="19"/>
  <c r="F24" i="19"/>
  <c r="G19" i="12"/>
  <c r="E6" i="12"/>
  <c r="C19" i="12"/>
  <c r="G18" i="22"/>
  <c r="G19" i="19"/>
  <c r="G29" i="22"/>
  <c r="G31" i="22"/>
  <c r="H29" i="22"/>
  <c r="H31" i="22"/>
  <c r="B3" i="12"/>
  <c r="G6" i="12"/>
  <c r="C11" i="19"/>
  <c r="F11" i="19"/>
  <c r="C11" i="12"/>
  <c r="F11" i="12"/>
  <c r="E8" i="12"/>
  <c r="G24" i="12"/>
  <c r="F19" i="12"/>
  <c r="F24" i="12"/>
  <c r="G24" i="19"/>
  <c r="F16" i="19"/>
  <c r="G11" i="19"/>
  <c r="G16" i="19"/>
  <c r="G11" i="12"/>
  <c r="G16" i="12"/>
  <c r="G26" i="12"/>
  <c r="F16" i="12"/>
  <c r="G26" i="19"/>
  <c r="B8" i="18"/>
  <c r="B7" i="18"/>
  <c r="B11" i="18"/>
  <c r="D2" i="18" a="1"/>
  <c r="D2" i="1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Table3" description="Connection to the 'Table3' query in the workbook." type="5" refreshedVersion="0" background="1">
    <dbPr connection="Provider=Microsoft.Mashup.OleDb.1;Data Source=$Workbook$;Location=Table3;Extended Properties=&quot;&quot;" command="SELECT * FROM [Table3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<sst xmlns="http://schemas.openxmlformats.org/spreadsheetml/2006/main" count="289" uniqueCount="207">
  <si>
    <t>N</t>
  </si>
  <si>
    <t>Customer</t>
  </si>
  <si>
    <t>CTN</t>
  </si>
  <si>
    <t>Net Price/kg</t>
  </si>
  <si>
    <t>WayBill</t>
  </si>
  <si>
    <t>Goods</t>
  </si>
  <si>
    <t>RMB Rate</t>
  </si>
  <si>
    <t>Total Net (RMB)</t>
  </si>
  <si>
    <t>Total Net (Rial)</t>
  </si>
  <si>
    <t>Ghorbanian</t>
  </si>
  <si>
    <t>Parsa</t>
  </si>
  <si>
    <t>%</t>
  </si>
  <si>
    <t>Benefit</t>
  </si>
  <si>
    <t>تاریخ</t>
  </si>
  <si>
    <t>بابت</t>
  </si>
  <si>
    <t>به/از حساب</t>
  </si>
  <si>
    <t>مانده نهایی</t>
  </si>
  <si>
    <t>جمع پرداخت ها</t>
  </si>
  <si>
    <t>جمع دریافت ها</t>
  </si>
  <si>
    <t>P Received 2</t>
  </si>
  <si>
    <t>P Received 1</t>
  </si>
  <si>
    <t>State</t>
  </si>
  <si>
    <t xml:space="preserve">clearance </t>
  </si>
  <si>
    <t xml:space="preserve">Pick up… </t>
  </si>
  <si>
    <t>فروش هر کیلو</t>
  </si>
  <si>
    <t>برند یا پیک اپ</t>
  </si>
  <si>
    <t>ترخیص</t>
  </si>
  <si>
    <t>جمع فاکتور</t>
  </si>
  <si>
    <t xml:space="preserve">Commission </t>
  </si>
  <si>
    <t>line</t>
  </si>
  <si>
    <t>جمع یوان</t>
  </si>
  <si>
    <t>Date of Confirm</t>
  </si>
  <si>
    <t>Comment</t>
  </si>
  <si>
    <t>Brand/Report</t>
  </si>
  <si>
    <t>قربانیان</t>
  </si>
  <si>
    <t>RMB Sale</t>
  </si>
  <si>
    <t>بدهی</t>
  </si>
  <si>
    <t>ملی</t>
  </si>
  <si>
    <t>Mohammadi</t>
  </si>
  <si>
    <t>نام مشتری</t>
  </si>
  <si>
    <t xml:space="preserve"> هزینه حمل داخلی</t>
  </si>
  <si>
    <t>Delivered</t>
  </si>
  <si>
    <t>Customs</t>
  </si>
  <si>
    <t>سود ناخالص</t>
  </si>
  <si>
    <t>Generated</t>
  </si>
  <si>
    <t>قرض الحسنه فرتاک</t>
  </si>
  <si>
    <t>Clear by:</t>
  </si>
  <si>
    <t>PEX</t>
  </si>
  <si>
    <t>مشخصات خریدار( سفارش دهنده یا صاحب مرسوله)</t>
  </si>
  <si>
    <t xml:space="preserve">شماره تلفن همراه :  </t>
  </si>
  <si>
    <t>مشخصات کالا (مرسوله)</t>
  </si>
  <si>
    <t>رديف</t>
  </si>
  <si>
    <t>تعداد</t>
  </si>
  <si>
    <t>واحد</t>
  </si>
  <si>
    <t xml:space="preserve">مبلغ واحد </t>
  </si>
  <si>
    <t>مبلغ كل</t>
  </si>
  <si>
    <t>کیلو</t>
  </si>
  <si>
    <t>هزینه انبارداری</t>
  </si>
  <si>
    <t>توضیحات :</t>
  </si>
  <si>
    <t xml:space="preserve">  نشاني :  </t>
  </si>
  <si>
    <t xml:space="preserve">فرودگاه امام </t>
  </si>
  <si>
    <t xml:space="preserve">  نام : </t>
  </si>
  <si>
    <t>چین</t>
  </si>
  <si>
    <t>هزینه کالای برند</t>
  </si>
  <si>
    <t>شرح خدمات حمل</t>
  </si>
  <si>
    <t xml:space="preserve">خدمات حمل بین المللی </t>
  </si>
  <si>
    <t xml:space="preserve">خدمات ترخیص </t>
  </si>
  <si>
    <t xml:space="preserve">هزینه حمل داخلی مبداء </t>
  </si>
  <si>
    <t xml:space="preserve">هزینه ریپورت </t>
  </si>
  <si>
    <t>هزینه های متفرقه</t>
  </si>
  <si>
    <t>مبلغ کل ارزی</t>
  </si>
  <si>
    <t>مبلغ كل ریالی</t>
  </si>
  <si>
    <t>شرح خدمات ترخیص</t>
  </si>
  <si>
    <t xml:space="preserve">توضیحات </t>
  </si>
  <si>
    <t>هزینه ثبت سفارش</t>
  </si>
  <si>
    <t>هزینه ترخیص از گمرک</t>
  </si>
  <si>
    <t>هزینه حمل از گمرک به مقصد</t>
  </si>
  <si>
    <t xml:space="preserve">گمرک: </t>
  </si>
  <si>
    <t>مبداء:</t>
  </si>
  <si>
    <t>هزینه حمل بین الملل</t>
  </si>
  <si>
    <t>نوع حمل:</t>
  </si>
  <si>
    <t>هوایی</t>
  </si>
  <si>
    <t>جمع کل حمل  :</t>
  </si>
  <si>
    <t>جمع کل ترخیص :</t>
  </si>
  <si>
    <t>مبلغ کل حمل و ترخیص :</t>
  </si>
  <si>
    <t>تاریخ:</t>
  </si>
  <si>
    <t>شماره بارنامه:</t>
  </si>
  <si>
    <t>وزن جرمی</t>
  </si>
  <si>
    <t xml:space="preserve"> وزن حجمی </t>
  </si>
  <si>
    <t xml:space="preserve">ارزش کالا  </t>
  </si>
  <si>
    <t xml:space="preserve">ماهیت کالا </t>
  </si>
  <si>
    <t>نرخ ارز</t>
  </si>
  <si>
    <t>مبلغ این فاکتور تا 24 ساعت معتبر می باشد</t>
  </si>
  <si>
    <t>هزینه ترخیص هر کیلو</t>
  </si>
  <si>
    <t>پیش فاکتور صادر شده براساس وزن اعلامی مشتری می باشد و وزن نهائی و ابعاد ، هنگام وزن کشی مجدد در گمرک مقصد لحاظ می گردد.</t>
  </si>
  <si>
    <t>قبض انبار</t>
  </si>
  <si>
    <t>حمل داخلی</t>
  </si>
  <si>
    <t>نت نهایی ریالی</t>
  </si>
  <si>
    <t xml:space="preserve"> ترخیص</t>
  </si>
  <si>
    <t>هر کیلو ترخیص</t>
  </si>
  <si>
    <t>X</t>
  </si>
  <si>
    <t>Y</t>
  </si>
  <si>
    <t>Z</t>
  </si>
  <si>
    <t>Volumertic</t>
  </si>
  <si>
    <t>وزن محاسبه حمل</t>
  </si>
  <si>
    <t>وزن واقعی ترخیص</t>
  </si>
  <si>
    <t>مبلغ دریافتی</t>
  </si>
  <si>
    <t xml:space="preserve">مبلغ پرداختی </t>
  </si>
  <si>
    <t>شرکاء</t>
  </si>
  <si>
    <t>محمدی</t>
  </si>
  <si>
    <t>فاکتور فروش</t>
  </si>
  <si>
    <t>شرح</t>
  </si>
  <si>
    <t>ریالی حمل</t>
  </si>
  <si>
    <t>مجموع</t>
  </si>
  <si>
    <t>جمع فاکتورها</t>
  </si>
  <si>
    <t>ابعاد:</t>
  </si>
  <si>
    <t>PEX26072901</t>
  </si>
  <si>
    <t>Gross W</t>
  </si>
  <si>
    <t>محمد رئیسی</t>
  </si>
  <si>
    <t>جمع کل حمل و  ترخیص :</t>
  </si>
  <si>
    <t>Check points</t>
  </si>
  <si>
    <t>Departed from China</t>
  </si>
  <si>
    <t>Arrived at IKA</t>
  </si>
  <si>
    <t xml:space="preserve">Cleared </t>
  </si>
  <si>
    <t>Suspend</t>
  </si>
  <si>
    <t>Canseled</t>
  </si>
  <si>
    <t>IKA Customs</t>
  </si>
  <si>
    <t xml:space="preserve">Recived at Guangzhou Warhouse </t>
  </si>
  <si>
    <t>Warhouse Recipte Issued</t>
  </si>
  <si>
    <t>Returned</t>
  </si>
  <si>
    <t xml:space="preserve">Confirm to Ship </t>
  </si>
  <si>
    <t>Shipper sent to Warhouse</t>
  </si>
  <si>
    <t>Awating for Payment</t>
  </si>
  <si>
    <t xml:space="preserve">هزینه متفرقه  </t>
  </si>
  <si>
    <t>هزینه های قبض انبار</t>
  </si>
  <si>
    <t>شماره بارنامه</t>
  </si>
  <si>
    <t xml:space="preserve">  نام: خانم/آقای</t>
  </si>
  <si>
    <t>1405/05/17</t>
  </si>
  <si>
    <t>نام واریز کننده/دریافت کننده</t>
  </si>
  <si>
    <t xml:space="preserve">بانک </t>
  </si>
  <si>
    <t>شماره سند</t>
  </si>
  <si>
    <t>ارز</t>
  </si>
  <si>
    <t>جمع دریافتی ها1</t>
  </si>
  <si>
    <t>جمع دریافتی ها2</t>
  </si>
  <si>
    <t>نام طرف حساب</t>
  </si>
  <si>
    <t>عدد</t>
  </si>
  <si>
    <t xml:space="preserve">بلو </t>
  </si>
  <si>
    <t>PEX26081301</t>
  </si>
  <si>
    <t>Oil Seal</t>
  </si>
  <si>
    <t>PEX26081103</t>
  </si>
  <si>
    <t>Liner  Guide Block &amp; Sensor</t>
  </si>
  <si>
    <t>باربری</t>
  </si>
  <si>
    <t xml:space="preserve">پیک صبا </t>
  </si>
  <si>
    <t>کارت</t>
  </si>
  <si>
    <t>1405/05/29</t>
  </si>
  <si>
    <t>کرایه تهران به اصفهان بار سلمانی زاده</t>
  </si>
  <si>
    <t>1405/05/31</t>
  </si>
  <si>
    <t>INVOICE TO</t>
  </si>
  <si>
    <t>Address:</t>
  </si>
  <si>
    <t>Invoice No.</t>
  </si>
  <si>
    <t>Date</t>
  </si>
  <si>
    <t>Origin</t>
  </si>
  <si>
    <t>China</t>
  </si>
  <si>
    <t>Transport</t>
  </si>
  <si>
    <t>Air Freight</t>
  </si>
  <si>
    <t>SHIPMENT DETAILS</t>
  </si>
  <si>
    <t>Imam Khomeini Airport</t>
  </si>
  <si>
    <t>Exchange Rate</t>
  </si>
  <si>
    <t>No.</t>
  </si>
  <si>
    <t>Item Description</t>
  </si>
  <si>
    <t>Unit</t>
  </si>
  <si>
    <t>Qty</t>
  </si>
  <si>
    <t>Unit Price</t>
  </si>
  <si>
    <t>Notes</t>
  </si>
  <si>
    <t>International Freight</t>
  </si>
  <si>
    <t>kg</t>
  </si>
  <si>
    <t>Report Fee</t>
  </si>
  <si>
    <t>Customs Clearance</t>
  </si>
  <si>
    <t>service</t>
  </si>
  <si>
    <t>Warehousing Fee</t>
  </si>
  <si>
    <t>Order Registration Fee</t>
  </si>
  <si>
    <t>Other Clearance Charges</t>
  </si>
  <si>
    <t>Freight Subtotal</t>
  </si>
  <si>
    <t>Clearance Subtotal</t>
  </si>
  <si>
    <t>TERMS &amp; CONDITIONS</t>
  </si>
  <si>
    <t>This proforma invoice is issued based on the shipment weight declared by the customer. Final weight and dimensions will be determined after re-weighing at the destination customs.</t>
  </si>
  <si>
    <t>Authorised Signature</t>
  </si>
  <si>
    <t>صدور فاکتور</t>
  </si>
  <si>
    <t>Actual Weight:</t>
  </si>
  <si>
    <t>Volometric Weight:</t>
  </si>
  <si>
    <t>Chargeable Weight:</t>
  </si>
  <si>
    <t>Goods Nature:</t>
  </si>
  <si>
    <t>Currency Rate:</t>
  </si>
  <si>
    <t>امارات</t>
  </si>
  <si>
    <t>Proforma</t>
  </si>
  <si>
    <t>1405/06/01</t>
  </si>
  <si>
    <t>Pick Up Fee</t>
  </si>
  <si>
    <t>Brand Fee</t>
  </si>
  <si>
    <t>Other Charges</t>
  </si>
  <si>
    <t>Domestic Transport</t>
  </si>
  <si>
    <t>TOTAL</t>
  </si>
  <si>
    <t>آقای/خانم:</t>
  </si>
  <si>
    <t>Volume:</t>
  </si>
  <si>
    <t>We Deliver Value</t>
  </si>
  <si>
    <t xml:space="preserve"> Total (Rial)</t>
  </si>
  <si>
    <t xml:space="preserve">Total (Currency) </t>
  </si>
  <si>
    <t>Phone Number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</si>
</sst>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;@"/>
    <numFmt numFmtId="165" formatCode="#,##0.0"/>
    <numFmt numFmtId="166" formatCode="[$-F800]dddd\,\ mmmm\ dd\,\ yyyy"/>
  </numFmts>
  <fonts count="31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sz val="10"/>
      <name val="B Titr"/>
      <charset val="178"/>
    </font>
    <font>
      <b/>
      <sz val="12"/>
      <name val="B Titr"/>
      <charset val="178"/>
    </font>
    <font>
      <b/>
      <sz val="10"/>
      <name val="B Zar"/>
      <charset val="178"/>
    </font>
    <font>
      <b/>
      <sz val="11"/>
      <name val="B Zar"/>
      <charset val="178"/>
    </font>
    <font>
      <sz val="10"/>
      <name val="Arial"/>
      <family val="2"/>
    </font>
    <font>
      <sz val="12"/>
      <name val="B Zar"/>
      <charset val="178"/>
    </font>
    <font>
      <b/>
      <sz val="12"/>
      <name val="B Roya"/>
      <charset val="178"/>
    </font>
    <font>
      <sz val="12"/>
      <name val="Arial"/>
      <family val="2"/>
    </font>
    <font>
      <b/>
      <sz val="9"/>
      <name val="B Roya"/>
      <charset val="178"/>
    </font>
    <font>
      <b/>
      <sz val="12"/>
      <name val="B Zar"/>
      <charset val="178"/>
    </font>
    <font>
      <b/>
      <sz val="10"/>
      <name val="B Titr"/>
      <charset val="178"/>
    </font>
    <font>
      <b/>
      <sz val="10"/>
      <name val="Calibri"/>
      <family val="2"/>
      <scheme val="minor"/>
    </font>
    <font>
      <sz val="9"/>
      <name val="B Titr"/>
      <charset val="178"/>
    </font>
    <font>
      <sz val="11"/>
      <color theme="1"/>
      <name val="B Titr"/>
      <charset val="178"/>
    </font>
    <font>
      <sz val="10"/>
      <color theme="0"/>
      <name val="B Titr"/>
      <charset val="178"/>
    </font>
    <font>
      <b/>
      <sz val="11"/>
      <color theme="0"/>
      <name val="Calibri"/>
      <family val="2"/>
      <scheme val="minor"/>
    </font>
    <font>
      <b/>
      <sz val="24"/>
      <color rgb="FF0B3F8A"/>
      <name val="Carlito"/>
    </font>
    <font>
      <b/>
      <sz val="12"/>
      <color rgb="FF1F2937"/>
      <name val="Carlito"/>
    </font>
    <font>
      <sz val="10"/>
      <color rgb="FF1F2937"/>
      <name val="Carlito"/>
    </font>
    <font>
      <b/>
      <sz val="11"/>
      <color rgb="FF1F2937"/>
      <name val="Carlito"/>
    </font>
    <font>
      <b/>
      <sz val="12"/>
      <color rgb="FFFFFFFF"/>
      <name val="Carlito"/>
    </font>
    <font>
      <b/>
      <sz val="10"/>
      <color rgb="FFFFFFFF"/>
      <name val="Carlito"/>
    </font>
    <font>
      <b/>
      <sz val="10"/>
      <color rgb="FF1F2937"/>
      <name val="Carlito"/>
    </font>
    <font>
      <b/>
      <sz val="11"/>
      <color theme="1"/>
      <name val="Carlito"/>
    </font>
    <font>
      <b/>
      <sz val="12"/>
      <color rgb="FFF7941D"/>
      <name val="B Titr"/>
      <charset val="178"/>
    </font>
    <font>
      <b/>
      <sz val="14"/>
      <color rgb="FF00B050"/>
      <name val="Calibri"/>
      <family val="2"/>
      <scheme val="minor"/>
    </font>
    <font>
      <b/>
      <sz val="22"/>
      <color rgb="FFF7941D"/>
      <name val="Carlito"/>
    </font>
  </fonts>
  <fills count="1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rgb="FF0B3F8A"/>
      </patternFill>
    </fill>
    <fill>
      <patternFill patternType="solid">
        <fgColor rgb="FFF7941D"/>
      </patternFill>
    </fill>
    <fill>
      <patternFill patternType="solid">
        <fgColor rgb="FFFDBA2D"/>
      </patternFill>
    </fill>
    <fill>
      <patternFill patternType="solid">
        <fgColor rgb="FFF3F5F7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rgb="FFD9DEE5"/>
      </left>
      <right/>
      <top style="thin">
        <color rgb="FFD9DEE5"/>
      </top>
      <bottom style="thin">
        <color rgb="FFD9DEE5"/>
      </bottom>
      <diagonal/>
    </border>
    <border>
      <left/>
      <right style="thin">
        <color rgb="FFD9DEE5"/>
      </right>
      <top style="thin">
        <color rgb="FFD9DEE5"/>
      </top>
      <bottom style="thin">
        <color rgb="FFD9DEE5"/>
      </bottom>
      <diagonal/>
    </border>
    <border>
      <left/>
      <right/>
      <top style="thin">
        <color rgb="FFD9DEE5"/>
      </top>
      <bottom/>
      <diagonal/>
    </border>
    <border>
      <left/>
      <right style="thin">
        <color rgb="FFD9DEE5"/>
      </right>
      <top style="thin">
        <color rgb="FFD9DEE5"/>
      </top>
      <bottom/>
      <diagonal/>
    </border>
    <border>
      <left style="thin">
        <color rgb="FFD9DEE5"/>
      </left>
      <right/>
      <top/>
      <bottom style="thin">
        <color rgb="FFD9DEE5"/>
      </bottom>
      <diagonal/>
    </border>
    <border>
      <left/>
      <right/>
      <top/>
      <bottom style="thin">
        <color rgb="FFD9DEE5"/>
      </bottom>
      <diagonal/>
    </border>
    <border>
      <left/>
      <right style="thin">
        <color rgb="FFD9DEE5"/>
      </right>
      <top/>
      <bottom style="thin">
        <color rgb="FFD9DEE5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B78A2A"/>
      </bottom>
      <diagonal/>
    </border>
  </borders>
  <cellStyleXfs count="1">
    <xf numFmtId="0" fontId="0" fillId="0" borderId="0"/>
  </cellStyleXfs>
  <cellXfs count="223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3" fontId="1" fillId="0" borderId="0" xfId="0" applyNumberFormat="1" applyFont="1" applyAlignment="1">
      <alignment horizontal="center"/>
    </xf>
    <xf numFmtId="0" fontId="0" fillId="3" borderId="0" xfId="0" applyFill="1" applyAlignment="1">
      <alignment horizontal="center" vertical="center"/>
    </xf>
    <xf numFmtId="3" fontId="0" fillId="3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0" xfId="0" applyFill="1"/>
    <xf numFmtId="3" fontId="0" fillId="0" borderId="0" xfId="0" applyNumberFormat="1" applyAlignment="1">
      <alignment horizontal="left"/>
    </xf>
    <xf numFmtId="3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6" fillId="7" borderId="4" xfId="0" applyFont="1" applyFill="1" applyBorder="1" applyAlignment="1">
      <alignment horizontal="right" vertical="center"/>
    </xf>
    <xf numFmtId="0" fontId="6" fillId="7" borderId="7" xfId="0" applyFont="1" applyFill="1" applyBorder="1" applyAlignment="1">
      <alignment horizontal="right" vertical="center"/>
    </xf>
    <xf numFmtId="0" fontId="6" fillId="7" borderId="2" xfId="0" applyFont="1" applyFill="1" applyBorder="1" applyAlignment="1">
      <alignment horizontal="right" vertical="center"/>
    </xf>
    <xf numFmtId="0" fontId="6" fillId="7" borderId="11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right" vertical="center" readingOrder="1"/>
    </xf>
    <xf numFmtId="3" fontId="10" fillId="0" borderId="6" xfId="0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6" fillId="7" borderId="5" xfId="0" applyFont="1" applyFill="1" applyBorder="1" applyAlignment="1">
      <alignment vertical="center"/>
    </xf>
    <xf numFmtId="0" fontId="5" fillId="6" borderId="0" xfId="0" applyFont="1" applyFill="1" applyAlignment="1">
      <alignment vertical="center" readingOrder="1"/>
    </xf>
    <xf numFmtId="0" fontId="0" fillId="0" borderId="13" xfId="0" applyBorder="1"/>
    <xf numFmtId="0" fontId="5" fillId="6" borderId="12" xfId="0" applyFont="1" applyFill="1" applyBorder="1" applyAlignment="1">
      <alignment horizontal="right" vertical="center" readingOrder="1"/>
    </xf>
    <xf numFmtId="0" fontId="10" fillId="0" borderId="6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3" fontId="10" fillId="0" borderId="5" xfId="0" applyNumberFormat="1" applyFont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vertical="center" wrapText="1"/>
    </xf>
    <xf numFmtId="0" fontId="5" fillId="6" borderId="14" xfId="0" applyFont="1" applyFill="1" applyBorder="1" applyAlignment="1">
      <alignment horizontal="right" vertical="center" readingOrder="1"/>
    </xf>
    <xf numFmtId="0" fontId="4" fillId="7" borderId="16" xfId="0" applyFont="1" applyFill="1" applyBorder="1" applyAlignment="1">
      <alignment vertical="center" wrapText="1"/>
    </xf>
    <xf numFmtId="3" fontId="10" fillId="0" borderId="17" xfId="0" applyNumberFormat="1" applyFont="1" applyBorder="1" applyAlignment="1">
      <alignment horizontal="center" vertical="center"/>
    </xf>
    <xf numFmtId="3" fontId="10" fillId="0" borderId="18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3" fontId="10" fillId="0" borderId="20" xfId="0" applyNumberFormat="1" applyFont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/>
    </xf>
    <xf numFmtId="3" fontId="9" fillId="0" borderId="22" xfId="0" applyNumberFormat="1" applyFont="1" applyBorder="1" applyAlignment="1">
      <alignment horizontal="center" vertical="center"/>
    </xf>
    <xf numFmtId="3" fontId="9" fillId="0" borderId="23" xfId="0" applyNumberFormat="1" applyFont="1" applyBorder="1" applyAlignment="1">
      <alignment horizontal="center" vertical="center"/>
    </xf>
    <xf numFmtId="3" fontId="9" fillId="0" borderId="24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0" fillId="0" borderId="28" xfId="0" applyFont="1" applyBorder="1" applyAlignment="1">
      <alignment horizontal="center" vertical="center"/>
    </xf>
    <xf numFmtId="3" fontId="9" fillId="0" borderId="29" xfId="0" applyNumberFormat="1" applyFont="1" applyBorder="1" applyAlignment="1">
      <alignment horizontal="center" vertical="center"/>
    </xf>
    <xf numFmtId="3" fontId="9" fillId="0" borderId="30" xfId="0" applyNumberFormat="1" applyFont="1" applyBorder="1" applyAlignment="1">
      <alignment horizontal="center" vertical="center"/>
    </xf>
    <xf numFmtId="3" fontId="9" fillId="0" borderId="31" xfId="0" applyNumberFormat="1" applyFont="1" applyBorder="1" applyAlignment="1">
      <alignment horizontal="center" vertical="center"/>
    </xf>
    <xf numFmtId="0" fontId="10" fillId="0" borderId="32" xfId="0" applyFont="1" applyBorder="1" applyAlignment="1">
      <alignment horizontal="right" vertical="center"/>
    </xf>
    <xf numFmtId="3" fontId="9" fillId="0" borderId="33" xfId="0" applyNumberFormat="1" applyFont="1" applyBorder="1" applyAlignment="1">
      <alignment horizontal="center" vertical="center"/>
    </xf>
    <xf numFmtId="3" fontId="9" fillId="0" borderId="19" xfId="0" applyNumberFormat="1" applyFont="1" applyBorder="1" applyAlignment="1">
      <alignment horizontal="center" vertical="center"/>
    </xf>
    <xf numFmtId="0" fontId="4" fillId="7" borderId="35" xfId="0" applyFont="1" applyFill="1" applyBorder="1" applyAlignment="1">
      <alignment horizontal="center" vertical="center"/>
    </xf>
    <xf numFmtId="0" fontId="4" fillId="7" borderId="36" xfId="0" applyFont="1" applyFill="1" applyBorder="1" applyAlignment="1">
      <alignment horizontal="center" vertical="center"/>
    </xf>
    <xf numFmtId="0" fontId="4" fillId="7" borderId="36" xfId="0" applyFont="1" applyFill="1" applyBorder="1" applyAlignment="1">
      <alignment horizontal="center" vertical="center" wrapText="1"/>
    </xf>
    <xf numFmtId="0" fontId="4" fillId="7" borderId="37" xfId="0" applyFont="1" applyFill="1" applyBorder="1" applyAlignment="1">
      <alignment vertical="center" wrapText="1"/>
    </xf>
    <xf numFmtId="0" fontId="4" fillId="7" borderId="38" xfId="0" applyFont="1" applyFill="1" applyBorder="1" applyAlignment="1">
      <alignment vertical="center" wrapText="1"/>
    </xf>
    <xf numFmtId="0" fontId="6" fillId="7" borderId="39" xfId="0" applyFont="1" applyFill="1" applyBorder="1" applyAlignment="1">
      <alignment horizontal="right" vertical="center"/>
    </xf>
    <xf numFmtId="0" fontId="6" fillId="7" borderId="38" xfId="0" applyFont="1" applyFill="1" applyBorder="1" applyAlignment="1">
      <alignment horizontal="right" vertical="center"/>
    </xf>
    <xf numFmtId="0" fontId="7" fillId="7" borderId="40" xfId="0" applyFont="1" applyFill="1" applyBorder="1" applyAlignment="1">
      <alignment horizontal="right" vertical="center"/>
    </xf>
    <xf numFmtId="0" fontId="7" fillId="7" borderId="36" xfId="0" applyFont="1" applyFill="1" applyBorder="1" applyAlignment="1">
      <alignment horizontal="right" vertical="center"/>
    </xf>
    <xf numFmtId="0" fontId="7" fillId="7" borderId="39" xfId="0" applyFont="1" applyFill="1" applyBorder="1" applyAlignment="1">
      <alignment horizontal="right" vertical="center"/>
    </xf>
    <xf numFmtId="0" fontId="6" fillId="7" borderId="31" xfId="0" applyFont="1" applyFill="1" applyBorder="1" applyAlignment="1">
      <alignment vertical="center"/>
    </xf>
    <xf numFmtId="0" fontId="6" fillId="7" borderId="15" xfId="0" applyFont="1" applyFill="1" applyBorder="1" applyAlignment="1">
      <alignment vertical="center"/>
    </xf>
    <xf numFmtId="0" fontId="6" fillId="7" borderId="43" xfId="0" applyFont="1" applyFill="1" applyBorder="1" applyAlignment="1">
      <alignment vertical="center"/>
    </xf>
    <xf numFmtId="0" fontId="10" fillId="0" borderId="28" xfId="0" applyFont="1" applyBorder="1" applyAlignment="1">
      <alignment horizontal="right" vertical="center"/>
    </xf>
    <xf numFmtId="0" fontId="14" fillId="0" borderId="34" xfId="0" applyFont="1" applyBorder="1" applyAlignment="1">
      <alignment horizontal="right" vertical="center"/>
    </xf>
    <xf numFmtId="0" fontId="10" fillId="0" borderId="44" xfId="0" applyFont="1" applyBorder="1" applyAlignment="1">
      <alignment horizontal="right" vertical="center"/>
    </xf>
    <xf numFmtId="0" fontId="10" fillId="0" borderId="41" xfId="0" applyFont="1" applyBorder="1" applyAlignment="1">
      <alignment horizontal="right" vertical="center"/>
    </xf>
    <xf numFmtId="0" fontId="10" fillId="0" borderId="45" xfId="0" applyFont="1" applyBorder="1" applyAlignment="1">
      <alignment horizontal="right" vertical="center"/>
    </xf>
    <xf numFmtId="0" fontId="10" fillId="0" borderId="36" xfId="0" applyFont="1" applyBorder="1" applyAlignment="1">
      <alignment horizontal="right" vertical="center"/>
    </xf>
    <xf numFmtId="0" fontId="10" fillId="0" borderId="18" xfId="0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10" fillId="7" borderId="40" xfId="0" applyFont="1" applyFill="1" applyBorder="1" applyAlignment="1">
      <alignment horizontal="right" vertical="center"/>
    </xf>
    <xf numFmtId="0" fontId="10" fillId="7" borderId="3" xfId="0" applyFont="1" applyFill="1" applyBorder="1" applyAlignment="1">
      <alignment horizontal="right" vertical="center"/>
    </xf>
    <xf numFmtId="0" fontId="10" fillId="7" borderId="42" xfId="0" applyFont="1" applyFill="1" applyBorder="1" applyAlignment="1">
      <alignment horizontal="right" vertical="center"/>
    </xf>
    <xf numFmtId="0" fontId="10" fillId="7" borderId="21" xfId="0" applyFont="1" applyFill="1" applyBorder="1" applyAlignment="1">
      <alignment horizontal="right" vertical="center"/>
    </xf>
    <xf numFmtId="0" fontId="10" fillId="7" borderId="23" xfId="0" applyFont="1" applyFill="1" applyBorder="1" applyAlignment="1">
      <alignment horizontal="right" vertical="center"/>
    </xf>
    <xf numFmtId="0" fontId="10" fillId="7" borderId="24" xfId="0" applyFont="1" applyFill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0" fontId="10" fillId="0" borderId="3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40" xfId="0" applyFont="1" applyBorder="1" applyAlignment="1">
      <alignment horizontal="right" vertical="center"/>
    </xf>
    <xf numFmtId="0" fontId="10" fillId="0" borderId="8" xfId="0" applyFont="1" applyBorder="1" applyAlignment="1">
      <alignment horizontal="right" vertical="center"/>
    </xf>
    <xf numFmtId="0" fontId="10" fillId="0" borderId="48" xfId="0" applyFont="1" applyBorder="1" applyAlignment="1">
      <alignment horizontal="right" vertical="center"/>
    </xf>
    <xf numFmtId="0" fontId="15" fillId="0" borderId="16" xfId="0" applyFont="1" applyBorder="1" applyAlignment="1">
      <alignment horizontal="left" vertical="center"/>
    </xf>
    <xf numFmtId="3" fontId="10" fillId="0" borderId="46" xfId="0" applyNumberFormat="1" applyFont="1" applyBorder="1" applyAlignment="1">
      <alignment horizontal="left" vertical="center"/>
    </xf>
    <xf numFmtId="165" fontId="10" fillId="0" borderId="6" xfId="0" applyNumberFormat="1" applyFont="1" applyBorder="1" applyAlignment="1">
      <alignment horizontal="center" vertical="center"/>
    </xf>
    <xf numFmtId="0" fontId="5" fillId="6" borderId="49" xfId="0" applyFont="1" applyFill="1" applyBorder="1" applyAlignment="1">
      <alignment horizontal="right" vertical="center" readingOrder="1"/>
    </xf>
    <xf numFmtId="0" fontId="5" fillId="6" borderId="41" xfId="0" applyFont="1" applyFill="1" applyBorder="1" applyAlignment="1">
      <alignment horizontal="right" vertical="center" readingOrder="1"/>
    </xf>
    <xf numFmtId="3" fontId="9" fillId="0" borderId="49" xfId="0" applyNumberFormat="1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center" vertical="center"/>
    </xf>
    <xf numFmtId="3" fontId="9" fillId="0" borderId="41" xfId="0" applyNumberFormat="1" applyFont="1" applyBorder="1" applyAlignment="1">
      <alignment horizontal="center" vertical="center"/>
    </xf>
    <xf numFmtId="0" fontId="5" fillId="6" borderId="50" xfId="0" applyFont="1" applyFill="1" applyBorder="1" applyAlignment="1">
      <alignment horizontal="right" vertical="center" readingOrder="1"/>
    </xf>
    <xf numFmtId="0" fontId="5" fillId="6" borderId="45" xfId="0" applyFont="1" applyFill="1" applyBorder="1" applyAlignment="1">
      <alignment horizontal="right" vertical="center" readingOrder="1"/>
    </xf>
    <xf numFmtId="3" fontId="9" fillId="0" borderId="27" xfId="0" applyNumberFormat="1" applyFont="1" applyBorder="1" applyAlignment="1">
      <alignment horizontal="center" vertical="center"/>
    </xf>
    <xf numFmtId="3" fontId="10" fillId="0" borderId="51" xfId="0" applyNumberFormat="1" applyFont="1" applyBorder="1" applyAlignment="1">
      <alignment horizontal="center" vertical="center"/>
    </xf>
    <xf numFmtId="0" fontId="4" fillId="0" borderId="49" xfId="0" applyFont="1" applyBorder="1" applyAlignment="1">
      <alignment vertical="center" wrapText="1"/>
    </xf>
    <xf numFmtId="3" fontId="10" fillId="0" borderId="41" xfId="0" applyNumberFormat="1" applyFont="1" applyBorder="1" applyAlignment="1">
      <alignment horizontal="center" vertical="center"/>
    </xf>
    <xf numFmtId="0" fontId="4" fillId="0" borderId="41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165" fontId="13" fillId="0" borderId="25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3" fontId="18" fillId="0" borderId="0" xfId="0" applyNumberFormat="1" applyFont="1" applyAlignment="1">
      <alignment vertical="center" wrapText="1"/>
    </xf>
    <xf numFmtId="3" fontId="1" fillId="2" borderId="10" xfId="0" applyNumberFormat="1" applyFont="1" applyFill="1" applyBorder="1" applyAlignment="1">
      <alignment horizontal="center" vertical="center"/>
    </xf>
    <xf numFmtId="3" fontId="1" fillId="0" borderId="10" xfId="0" applyNumberFormat="1" applyFont="1" applyBorder="1"/>
    <xf numFmtId="3" fontId="1" fillId="0" borderId="10" xfId="0" applyNumberFormat="1" applyFont="1" applyBorder="1" applyAlignment="1">
      <alignment horizontal="center"/>
    </xf>
    <xf numFmtId="0" fontId="6" fillId="7" borderId="35" xfId="0" applyFont="1" applyFill="1" applyBorder="1" applyAlignment="1">
      <alignment vertical="center"/>
    </xf>
    <xf numFmtId="0" fontId="6" fillId="7" borderId="39" xfId="0" applyFont="1" applyFill="1" applyBorder="1"/>
    <xf numFmtId="3" fontId="1" fillId="3" borderId="2" xfId="0" applyNumberFormat="1" applyFont="1" applyFill="1" applyBorder="1" applyAlignment="1">
      <alignment horizontal="center" vertical="center"/>
    </xf>
    <xf numFmtId="3" fontId="1" fillId="3" borderId="3" xfId="0" applyNumberFormat="1" applyFont="1" applyFill="1" applyBorder="1" applyAlignment="1">
      <alignment horizontal="center" vertical="center"/>
    </xf>
    <xf numFmtId="3" fontId="1" fillId="3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164" fontId="1" fillId="5" borderId="0" xfId="0" applyNumberFormat="1" applyFont="1" applyFill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3" fontId="1" fillId="8" borderId="0" xfId="0" applyNumberFormat="1" applyFont="1" applyFill="1" applyAlignment="1">
      <alignment horizontal="center" vertical="center"/>
    </xf>
    <xf numFmtId="3" fontId="1" fillId="8" borderId="10" xfId="0" applyNumberFormat="1" applyFont="1" applyFill="1" applyBorder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3" fontId="1" fillId="7" borderId="0" xfId="0" applyNumberFormat="1" applyFont="1" applyFill="1"/>
    <xf numFmtId="3" fontId="1" fillId="7" borderId="10" xfId="0" applyNumberFormat="1" applyFont="1" applyFill="1" applyBorder="1" applyAlignment="1">
      <alignment horizontal="center" vertical="center"/>
    </xf>
    <xf numFmtId="3" fontId="1" fillId="7" borderId="10" xfId="0" applyNumberFormat="1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3" fontId="10" fillId="0" borderId="25" xfId="0" applyNumberFormat="1" applyFont="1" applyBorder="1" applyAlignment="1">
      <alignment horizontal="right" vertical="center"/>
    </xf>
    <xf numFmtId="3" fontId="0" fillId="0" borderId="0" xfId="0" applyNumberFormat="1" applyAlignment="1">
      <alignment horizontal="center" vertical="center"/>
    </xf>
    <xf numFmtId="0" fontId="0" fillId="10" borderId="10" xfId="0" applyFill="1" applyBorder="1" applyAlignment="1">
      <alignment horizontal="center" vertical="center"/>
    </xf>
    <xf numFmtId="0" fontId="19" fillId="9" borderId="0" xfId="0" applyFont="1" applyFill="1" applyAlignment="1">
      <alignment horizontal="center" vertical="center"/>
    </xf>
    <xf numFmtId="0" fontId="1" fillId="0" borderId="54" xfId="0" applyFont="1" applyBorder="1" applyAlignment="1">
      <alignment horizontal="center"/>
    </xf>
    <xf numFmtId="3" fontId="0" fillId="0" borderId="10" xfId="0" applyNumberFormat="1" applyBorder="1" applyAlignment="1">
      <alignment horizontal="center" vertical="center"/>
    </xf>
    <xf numFmtId="165" fontId="1" fillId="11" borderId="0" xfId="0" applyNumberFormat="1" applyFont="1" applyFill="1"/>
    <xf numFmtId="165" fontId="1" fillId="7" borderId="0" xfId="0" applyNumberFormat="1" applyFont="1" applyFill="1"/>
    <xf numFmtId="0" fontId="5" fillId="6" borderId="45" xfId="0" applyFont="1" applyFill="1" applyBorder="1" applyAlignment="1">
      <alignment vertical="center" readingOrder="1"/>
    </xf>
    <xf numFmtId="0" fontId="3" fillId="0" borderId="52" xfId="0" applyFont="1" applyBorder="1" applyAlignment="1">
      <alignment vertical="center"/>
    </xf>
    <xf numFmtId="0" fontId="17" fillId="0" borderId="52" xfId="0" applyFont="1" applyBorder="1" applyAlignment="1">
      <alignment vertical="center"/>
    </xf>
    <xf numFmtId="3" fontId="4" fillId="0" borderId="41" xfId="0" applyNumberFormat="1" applyFont="1" applyBorder="1" applyAlignment="1">
      <alignment horizontal="center" vertical="center" wrapText="1"/>
    </xf>
    <xf numFmtId="3" fontId="10" fillId="0" borderId="26" xfId="0" applyNumberFormat="1" applyFont="1" applyBorder="1" applyAlignment="1">
      <alignment horizontal="center" vertical="center"/>
    </xf>
    <xf numFmtId="165" fontId="1" fillId="5" borderId="0" xfId="0" applyNumberFormat="1" applyFont="1" applyFill="1" applyAlignment="1">
      <alignment horizontal="center" vertical="center"/>
    </xf>
    <xf numFmtId="165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7" borderId="9" xfId="0" applyFont="1" applyFill="1" applyBorder="1" applyAlignment="1">
      <alignment horizontal="center" vertical="center" wrapText="1"/>
    </xf>
    <xf numFmtId="0" fontId="4" fillId="7" borderId="37" xfId="0" applyFont="1" applyFill="1" applyBorder="1" applyAlignment="1">
      <alignment horizontal="center" vertical="center" wrapText="1"/>
    </xf>
    <xf numFmtId="165" fontId="10" fillId="0" borderId="53" xfId="0" applyNumberFormat="1" applyFont="1" applyBorder="1" applyAlignment="1">
      <alignment horizontal="center" vertical="center"/>
    </xf>
    <xf numFmtId="3" fontId="9" fillId="0" borderId="28" xfId="0" applyNumberFormat="1" applyFont="1" applyBorder="1" applyAlignment="1">
      <alignment horizontal="center" vertical="center"/>
    </xf>
    <xf numFmtId="0" fontId="0" fillId="15" borderId="0" xfId="0" applyFill="1" applyAlignment="1">
      <alignment vertical="center"/>
    </xf>
    <xf numFmtId="0" fontId="23" fillId="0" borderId="0" xfId="0" applyFont="1" applyAlignment="1">
      <alignment vertical="center"/>
    </xf>
    <xf numFmtId="0" fontId="22" fillId="12" borderId="57" xfId="0" applyFont="1" applyFill="1" applyBorder="1" applyAlignment="1">
      <alignment vertical="center" wrapText="1"/>
    </xf>
    <xf numFmtId="0" fontId="22" fillId="12" borderId="59" xfId="0" applyFont="1" applyFill="1" applyBorder="1" applyAlignment="1">
      <alignment vertical="center" wrapText="1"/>
    </xf>
    <xf numFmtId="0" fontId="22" fillId="12" borderId="60" xfId="0" applyFont="1" applyFill="1" applyBorder="1" applyAlignment="1">
      <alignment vertical="center" wrapText="1"/>
    </xf>
    <xf numFmtId="0" fontId="22" fillId="12" borderId="61" xfId="0" applyFont="1" applyFill="1" applyBorder="1" applyAlignment="1">
      <alignment vertical="center" wrapText="1"/>
    </xf>
    <xf numFmtId="0" fontId="25" fillId="13" borderId="62" xfId="0" applyFont="1" applyFill="1" applyBorder="1" applyAlignment="1">
      <alignment horizontal="center" vertical="center" wrapText="1"/>
    </xf>
    <xf numFmtId="0" fontId="25" fillId="13" borderId="63" xfId="0" applyFont="1" applyFill="1" applyBorder="1" applyAlignment="1">
      <alignment horizontal="center" vertical="center" wrapText="1"/>
    </xf>
    <xf numFmtId="0" fontId="25" fillId="13" borderId="64" xfId="0" applyFont="1" applyFill="1" applyBorder="1" applyAlignment="1">
      <alignment horizontal="center" vertical="center" wrapText="1"/>
    </xf>
    <xf numFmtId="0" fontId="22" fillId="12" borderId="60" xfId="0" applyFont="1" applyFill="1" applyBorder="1" applyAlignment="1">
      <alignment horizontal="center" vertical="center" wrapText="1"/>
    </xf>
    <xf numFmtId="1" fontId="22" fillId="12" borderId="60" xfId="0" applyNumberFormat="1" applyFont="1" applyFill="1" applyBorder="1" applyAlignment="1">
      <alignment horizontal="center" vertical="center" wrapText="1"/>
    </xf>
    <xf numFmtId="4" fontId="22" fillId="12" borderId="60" xfId="0" applyNumberFormat="1" applyFont="1" applyFill="1" applyBorder="1" applyAlignment="1">
      <alignment horizontal="center" vertical="center" wrapText="1"/>
    </xf>
    <xf numFmtId="0" fontId="22" fillId="16" borderId="60" xfId="0" applyFont="1" applyFill="1" applyBorder="1" applyAlignment="1">
      <alignment horizontal="center" vertical="center" wrapText="1"/>
    </xf>
    <xf numFmtId="0" fontId="22" fillId="16" borderId="60" xfId="0" applyFont="1" applyFill="1" applyBorder="1" applyAlignment="1">
      <alignment vertical="center" wrapText="1"/>
    </xf>
    <xf numFmtId="1" fontId="22" fillId="16" borderId="60" xfId="0" applyNumberFormat="1" applyFont="1" applyFill="1" applyBorder="1" applyAlignment="1">
      <alignment horizontal="center" vertical="center" wrapText="1"/>
    </xf>
    <xf numFmtId="4" fontId="22" fillId="16" borderId="60" xfId="0" applyNumberFormat="1" applyFont="1" applyFill="1" applyBorder="1" applyAlignment="1">
      <alignment horizontal="center" vertical="center" wrapText="1"/>
    </xf>
    <xf numFmtId="3" fontId="22" fillId="16" borderId="60" xfId="0" applyNumberFormat="1" applyFont="1" applyFill="1" applyBorder="1" applyAlignment="1">
      <alignment horizontal="center" vertical="center" wrapText="1"/>
    </xf>
    <xf numFmtId="3" fontId="22" fillId="12" borderId="60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vertical="center"/>
    </xf>
    <xf numFmtId="3" fontId="0" fillId="0" borderId="0" xfId="0" applyNumberFormat="1" applyAlignment="1">
      <alignment vertical="center"/>
    </xf>
    <xf numFmtId="0" fontId="22" fillId="0" borderId="0" xfId="0" applyFont="1" applyAlignment="1">
      <alignment vertical="center"/>
    </xf>
    <xf numFmtId="14" fontId="1" fillId="2" borderId="0" xfId="0" applyNumberFormat="1" applyFont="1" applyFill="1" applyAlignment="1">
      <alignment horizontal="center" vertical="center"/>
    </xf>
    <xf numFmtId="14" fontId="1" fillId="7" borderId="0" xfId="0" applyNumberFormat="1" applyFont="1" applyFill="1" applyAlignment="1">
      <alignment horizontal="center"/>
    </xf>
    <xf numFmtId="14" fontId="1" fillId="0" borderId="0" xfId="0" applyNumberFormat="1" applyFont="1" applyAlignment="1">
      <alignment horizontal="center"/>
    </xf>
    <xf numFmtId="0" fontId="22" fillId="12" borderId="57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2" fillId="12" borderId="58" xfId="0" applyFont="1" applyFill="1" applyBorder="1" applyAlignment="1">
      <alignment horizontal="left" vertical="center" wrapText="1"/>
    </xf>
    <xf numFmtId="3" fontId="22" fillId="0" borderId="0" xfId="0" applyNumberFormat="1" applyFont="1" applyAlignment="1">
      <alignment horizontal="left" vertical="center"/>
    </xf>
    <xf numFmtId="4" fontId="22" fillId="12" borderId="57" xfId="0" applyNumberFormat="1" applyFont="1" applyFill="1" applyBorder="1" applyAlignment="1">
      <alignment horizontal="left" vertical="center" wrapText="1"/>
    </xf>
    <xf numFmtId="165" fontId="10" fillId="0" borderId="47" xfId="0" applyNumberFormat="1" applyFont="1" applyBorder="1" applyAlignment="1">
      <alignment horizontal="center" vertical="center"/>
    </xf>
    <xf numFmtId="165" fontId="10" fillId="0" borderId="37" xfId="0" applyNumberFormat="1" applyFont="1" applyBorder="1" applyAlignment="1">
      <alignment horizontal="center" vertical="center"/>
    </xf>
    <xf numFmtId="0" fontId="1" fillId="4" borderId="0" xfId="0" applyFont="1" applyFill="1"/>
    <xf numFmtId="0" fontId="21" fillId="0" borderId="0" xfId="0" applyFont="1" applyAlignment="1">
      <alignment vertical="center"/>
    </xf>
    <xf numFmtId="3" fontId="24" fillId="13" borderId="0" xfId="0" applyNumberFormat="1" applyFont="1" applyFill="1" applyAlignment="1">
      <alignment horizontal="center" vertical="center"/>
    </xf>
    <xf numFmtId="3" fontId="23" fillId="16" borderId="0" xfId="0" applyNumberFormat="1" applyFont="1" applyFill="1" applyAlignment="1">
      <alignment horizontal="center" vertical="center"/>
    </xf>
    <xf numFmtId="4" fontId="23" fillId="0" borderId="0" xfId="0" applyNumberFormat="1" applyFont="1" applyAlignment="1">
      <alignment vertical="center"/>
    </xf>
    <xf numFmtId="0" fontId="1" fillId="15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4" fontId="23" fillId="0" borderId="0" xfId="0" applyNumberFormat="1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2" fillId="6" borderId="0" xfId="0" applyFont="1" applyFill="1" applyAlignment="1">
      <alignment vertical="center"/>
    </xf>
    <xf numFmtId="3" fontId="22" fillId="6" borderId="0" xfId="0" applyNumberFormat="1" applyFont="1" applyFill="1" applyAlignment="1">
      <alignment horizontal="left" vertical="center"/>
    </xf>
    <xf numFmtId="0" fontId="23" fillId="0" borderId="0" xfId="0" applyFont="1" applyAlignment="1">
      <alignment vertical="center"/>
    </xf>
    <xf numFmtId="0" fontId="20" fillId="12" borderId="0" xfId="0" applyFont="1" applyFill="1" applyAlignment="1">
      <alignment horizontal="left" vertical="center"/>
    </xf>
    <xf numFmtId="0" fontId="0" fillId="13" borderId="0" xfId="0" applyFill="1" applyAlignment="1">
      <alignment vertical="center"/>
    </xf>
    <xf numFmtId="0" fontId="0" fillId="14" borderId="0" xfId="0" applyFill="1" applyAlignment="1">
      <alignment vertical="center"/>
    </xf>
    <xf numFmtId="0" fontId="30" fillId="0" borderId="0" xfId="0" applyFont="1" applyAlignment="1">
      <alignment horizontal="center" vertical="center"/>
    </xf>
    <xf numFmtId="0" fontId="23" fillId="16" borderId="55" xfId="0" applyFont="1" applyFill="1" applyBorder="1" applyAlignment="1">
      <alignment horizontal="center" vertical="center"/>
    </xf>
    <xf numFmtId="0" fontId="23" fillId="16" borderId="56" xfId="0" applyFont="1" applyFill="1" applyBorder="1" applyAlignment="1">
      <alignment horizontal="center" vertical="center"/>
    </xf>
    <xf numFmtId="166" fontId="23" fillId="16" borderId="55" xfId="0" applyNumberFormat="1" applyFont="1" applyFill="1" applyBorder="1" applyAlignment="1">
      <alignment horizontal="center" vertical="center"/>
    </xf>
    <xf numFmtId="166" fontId="23" fillId="16" borderId="56" xfId="0" applyNumberFormat="1" applyFont="1" applyFill="1" applyBorder="1" applyAlignment="1">
      <alignment horizontal="center" vertical="center"/>
    </xf>
    <xf numFmtId="0" fontId="0" fillId="15" borderId="0" xfId="0" applyFill="1" applyAlignment="1">
      <alignment vertical="center"/>
    </xf>
    <xf numFmtId="3" fontId="24" fillId="13" borderId="0" xfId="0" applyNumberFormat="1" applyFont="1" applyFill="1" applyAlignment="1">
      <alignment horizontal="left" vertical="center"/>
    </xf>
    <xf numFmtId="0" fontId="24" fillId="13" borderId="0" xfId="0" applyFont="1" applyFill="1" applyAlignment="1">
      <alignment horizontal="center" vertical="center"/>
    </xf>
    <xf numFmtId="0" fontId="22" fillId="12" borderId="60" xfId="0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1" fillId="0" borderId="65" xfId="0" applyFont="1" applyBorder="1" applyAlignment="1">
      <alignment vertical="center"/>
    </xf>
    <xf numFmtId="0" fontId="0" fillId="0" borderId="65" xfId="0" applyBorder="1" applyAlignment="1">
      <alignment vertical="center"/>
    </xf>
    <xf numFmtId="0" fontId="22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2" fillId="14" borderId="0" xfId="0" applyFont="1" applyFill="1" applyAlignment="1">
      <alignment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 /><Relationship Id="rId13" Type="http://schemas.openxmlformats.org/officeDocument/2006/relationships/sheetMetadata" Target="metadata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styles" Target="styles.xml" /><Relationship Id="rId5" Type="http://schemas.openxmlformats.org/officeDocument/2006/relationships/worksheet" Target="worksheets/sheet5.xml" /><Relationship Id="rId15" Type="http://schemas.openxmlformats.org/officeDocument/2006/relationships/customXml" Target="../customXml/item1.xml" /><Relationship Id="rId10" Type="http://schemas.openxmlformats.org/officeDocument/2006/relationships/connections" Target="connections.xml" /><Relationship Id="rId4" Type="http://schemas.openxmlformats.org/officeDocument/2006/relationships/worksheet" Target="worksheets/sheet4.xml" /><Relationship Id="rId9" Type="http://schemas.openxmlformats.org/officeDocument/2006/relationships/theme" Target="theme/theme1.xml" /><Relationship Id="rId14" Type="http://schemas.openxmlformats.org/officeDocument/2006/relationships/calcChain" Target="calcChain.xml" 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C:/Users/Ghorban/Desktop/China%20Acount%202025-07-26%202&#1578;&#1587;&#1578;.xlsx" TargetMode="External" /><Relationship Id="rId1" Type="http://schemas.openxmlformats.org/officeDocument/2006/relationships/externalLinkPath" Target="China%20Acount%202025-07-26%202&#1578;&#1587;&#1578;.xlsx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چین"/>
      <sheetName val="گزارش مشتری"/>
      <sheetName val="data"/>
      <sheetName val="Sheet2"/>
      <sheetName val="حساب چین WU"/>
      <sheetName val="قربانیان و محمدی"/>
      <sheetName val="پارسا و محمدی"/>
      <sheetName val="حساب "/>
      <sheetName val="Sheet1"/>
      <sheetName val="Invoice"/>
      <sheetName val="Proforma"/>
      <sheetName val="discrepancy"/>
      <sheetName val="SOA"/>
      <sheetName val="China Acount 2025-07-26 2تس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47762F3-36F6-4A79-889E-1533F87ABBB8}" name="table1" displayName="table1" ref="A1:A40" totalsRowShown="0" headerRowDxfId="3" dataDxfId="2" tableBorderDxfId="1">
  <autoFilter ref="A1:A40" xr:uid="{E47762F3-36F6-4A79-889E-1533F87ABBB8}"/>
  <tableColumns count="1">
    <tableColumn id="1" xr3:uid="{B498761D-EA0D-4E10-BA99-8D68EF86BC52}" name="Custom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A9306-8086-42F9-A4B9-E691B8B2DDD0}">
  <sheetPr codeName="Sheet1"/>
  <dimension ref="A1:AY11"/>
  <sheetViews>
    <sheetView zoomScaleNormal="100" workbookViewId="0">
      <pane xSplit="8" ySplit="1" topLeftCell="I2" activePane="bottomRight" state="frozen"/>
      <selection pane="bottomLeft" activeCell="A2" sqref="A2"/>
      <selection pane="topRight" activeCell="F1" sqref="F1"/>
      <selection pane="bottomRight" activeCell="AS2" sqref="AS2"/>
    </sheetView>
  </sheetViews>
  <sheetFormatPr defaultColWidth="8.875" defaultRowHeight="20.25" customHeight="1" x14ac:dyDescent="0.2"/>
  <cols>
    <col min="1" max="1" width="6.05078125" style="14" customWidth="1"/>
    <col min="2" max="2" width="15.19921875" style="14" customWidth="1"/>
    <col min="3" max="3" width="8.7421875" style="13" customWidth="1"/>
    <col min="4" max="4" width="9.68359375" style="14" customWidth="1"/>
    <col min="5" max="5" width="13.85546875" style="2" customWidth="1"/>
    <col min="6" max="6" width="8.875" style="15" customWidth="1"/>
    <col min="7" max="7" width="17.75390625" style="13" customWidth="1"/>
    <col min="8" max="8" width="19.50390625" style="13" customWidth="1"/>
    <col min="9" max="9" width="18.29296875" style="13" customWidth="1"/>
    <col min="10" max="10" width="8.33984375" style="14" customWidth="1"/>
    <col min="11" max="11" width="12.375" style="150" customWidth="1"/>
    <col min="12" max="12" width="12.375" style="14" customWidth="1"/>
    <col min="13" max="13" width="5.91796875" style="14" customWidth="1"/>
    <col min="14" max="15" width="5.109375" style="14" customWidth="1"/>
    <col min="16" max="16" width="8.33984375" style="135" customWidth="1"/>
    <col min="17" max="17" width="12.375" style="14" customWidth="1"/>
    <col min="18" max="18" width="16.6796875" style="6" customWidth="1"/>
    <col min="19" max="19" width="11.1640625" style="6" customWidth="1"/>
    <col min="20" max="20" width="20.17578125" style="120" customWidth="1"/>
    <col min="21" max="21" width="12.10546875" style="12" customWidth="1"/>
    <col min="22" max="22" width="14.9296875" style="12" customWidth="1"/>
    <col min="23" max="24" width="21.65625" style="12" customWidth="1"/>
    <col min="25" max="25" width="19.1015625" style="12" customWidth="1"/>
    <col min="26" max="26" width="21.7890625" style="12" customWidth="1"/>
    <col min="27" max="27" width="22.59765625" style="119" customWidth="1"/>
    <col min="28" max="28" width="13.98828125" style="12" customWidth="1"/>
    <col min="29" max="29" width="14.2578125" style="12" customWidth="1"/>
    <col min="30" max="30" width="13.98828125" style="12" customWidth="1"/>
    <col min="31" max="31" width="14.66015625" style="12" customWidth="1"/>
    <col min="32" max="32" width="11.8359375" style="12" customWidth="1"/>
    <col min="33" max="34" width="15.73828125" style="12" customWidth="1"/>
    <col min="35" max="36" width="16.41015625" style="12" customWidth="1"/>
    <col min="37" max="37" width="15.73828125" style="12" customWidth="1"/>
    <col min="38" max="38" width="23.67578125" style="120" customWidth="1"/>
    <col min="39" max="39" width="18.16015625" style="180" customWidth="1"/>
    <col min="40" max="40" width="20.17578125" style="6" customWidth="1"/>
    <col min="41" max="42" width="18.29296875" style="14" customWidth="1"/>
    <col min="43" max="43" width="21.7890625" style="12" customWidth="1"/>
    <col min="44" max="44" width="18.29296875" style="14" customWidth="1"/>
    <col min="45" max="45" width="15.46875" style="13" customWidth="1"/>
    <col min="46" max="46" width="4.3046875" style="13" customWidth="1"/>
    <col min="47" max="47" width="15.33203125" style="14" customWidth="1"/>
    <col min="48" max="48" width="3.62890625" style="14" customWidth="1"/>
    <col min="49" max="49" width="13.5859375" style="14" customWidth="1"/>
    <col min="50" max="50" width="3.8984375" style="14" customWidth="1"/>
    <col min="51" max="51" width="13.98828125" style="14" customWidth="1"/>
    <col min="52" max="52" width="12.64453125" style="13" bestFit="1" customWidth="1"/>
    <col min="53" max="53" width="10.89453125" style="13" bestFit="1" customWidth="1"/>
    <col min="54" max="16384" width="8.875" style="13"/>
  </cols>
  <sheetData>
    <row r="1" spans="1:51" s="3" customFormat="1" ht="20.25" customHeight="1" x14ac:dyDescent="0.2">
      <c r="A1" s="131" t="s">
        <v>0</v>
      </c>
      <c r="B1" s="131" t="s">
        <v>1</v>
      </c>
      <c r="C1" s="131" t="s">
        <v>29</v>
      </c>
      <c r="D1" s="131" t="s">
        <v>46</v>
      </c>
      <c r="E1" s="126" t="s">
        <v>21</v>
      </c>
      <c r="F1" s="127" t="s">
        <v>31</v>
      </c>
      <c r="G1" s="128" t="s">
        <v>4</v>
      </c>
      <c r="H1" s="128" t="s">
        <v>5</v>
      </c>
      <c r="I1" s="128" t="s">
        <v>32</v>
      </c>
      <c r="J1" s="128" t="s">
        <v>2</v>
      </c>
      <c r="K1" s="149" t="s">
        <v>117</v>
      </c>
      <c r="L1" s="128" t="s">
        <v>3</v>
      </c>
      <c r="M1" s="4" t="s">
        <v>100</v>
      </c>
      <c r="N1" s="4" t="s">
        <v>101</v>
      </c>
      <c r="O1" s="4" t="s">
        <v>102</v>
      </c>
      <c r="P1" s="4" t="s">
        <v>103</v>
      </c>
      <c r="Q1" s="4" t="s">
        <v>33</v>
      </c>
      <c r="R1" s="5" t="s">
        <v>23</v>
      </c>
      <c r="S1" s="5" t="s">
        <v>22</v>
      </c>
      <c r="T1" s="118" t="s">
        <v>7</v>
      </c>
      <c r="U1" s="129" t="s">
        <v>6</v>
      </c>
      <c r="V1" s="129" t="s">
        <v>8</v>
      </c>
      <c r="W1" s="129" t="s">
        <v>95</v>
      </c>
      <c r="X1" s="129" t="s">
        <v>99</v>
      </c>
      <c r="Y1" s="129" t="s">
        <v>98</v>
      </c>
      <c r="Z1" s="129" t="s">
        <v>96</v>
      </c>
      <c r="AA1" s="130" t="s">
        <v>97</v>
      </c>
      <c r="AB1" s="125" t="s">
        <v>35</v>
      </c>
      <c r="AC1" s="125" t="s">
        <v>105</v>
      </c>
      <c r="AD1" s="123" t="s">
        <v>104</v>
      </c>
      <c r="AE1" s="123" t="s">
        <v>24</v>
      </c>
      <c r="AF1" s="123" t="s">
        <v>25</v>
      </c>
      <c r="AG1" s="125" t="s">
        <v>30</v>
      </c>
      <c r="AH1" s="125" t="s">
        <v>112</v>
      </c>
      <c r="AI1" s="123" t="s">
        <v>40</v>
      </c>
      <c r="AJ1" s="123" t="s">
        <v>93</v>
      </c>
      <c r="AK1" s="124" t="s">
        <v>26</v>
      </c>
      <c r="AL1" s="118" t="s">
        <v>27</v>
      </c>
      <c r="AM1" s="178" t="s">
        <v>187</v>
      </c>
      <c r="AN1" s="5" t="s">
        <v>20</v>
      </c>
      <c r="AO1" s="5" t="s">
        <v>19</v>
      </c>
      <c r="AP1" s="5" t="s">
        <v>36</v>
      </c>
      <c r="AQ1" s="5" t="s">
        <v>28</v>
      </c>
      <c r="AR1" s="5" t="s">
        <v>43</v>
      </c>
      <c r="AS1" s="5" t="s">
        <v>12</v>
      </c>
      <c r="AT1" s="5" t="s">
        <v>11</v>
      </c>
      <c r="AU1" s="4" t="s">
        <v>38</v>
      </c>
      <c r="AV1" s="4" t="s">
        <v>11</v>
      </c>
      <c r="AW1" s="4" t="s">
        <v>9</v>
      </c>
      <c r="AX1" s="4" t="s">
        <v>11</v>
      </c>
      <c r="AY1" s="4" t="s">
        <v>10</v>
      </c>
    </row>
    <row r="2" spans="1:51" ht="20.25" customHeight="1" x14ac:dyDescent="0.2">
      <c r="A2" s="14">
        <v>97</v>
      </c>
      <c r="B2" s="14" t="s">
        <v>118</v>
      </c>
      <c r="C2" s="13" t="s">
        <v>47</v>
      </c>
      <c r="D2" s="14" t="s">
        <v>47</v>
      </c>
      <c r="E2" s="2" t="s">
        <v>123</v>
      </c>
      <c r="G2" s="189" t="s">
        <v>147</v>
      </c>
      <c r="H2" s="13" t="s">
        <v>148</v>
      </c>
      <c r="J2" s="14">
        <v>1</v>
      </c>
      <c r="K2" s="14">
        <v>10.5</v>
      </c>
      <c r="L2" s="14">
        <v>58</v>
      </c>
      <c r="M2" s="14">
        <v>25</v>
      </c>
      <c r="N2" s="14">
        <v>26</v>
      </c>
      <c r="O2" s="14">
        <v>39</v>
      </c>
      <c r="P2" s="135">
        <f t="shared" ref="P2:P5" si="0">O2*N2*M2/5000</f>
        <v>5.07</v>
      </c>
      <c r="T2" s="120">
        <f t="shared" ref="T2:T3" si="1">(K2*L2)+S2+R2+Q2</f>
        <v>609</v>
      </c>
      <c r="U2" s="12">
        <v>306500</v>
      </c>
      <c r="V2" s="132">
        <f t="shared" ref="V2:V3" si="2">T2*U2</f>
        <v>186658500</v>
      </c>
      <c r="X2" s="12">
        <v>7000000</v>
      </c>
      <c r="Y2" s="12">
        <f t="shared" ref="Y2:Y3" si="3">X2*K2</f>
        <v>73500000</v>
      </c>
      <c r="AA2" s="133">
        <f t="shared" ref="AA2:AA7" si="4">(U2*T2)+W2+Y2+Z2+AQ2</f>
        <v>260158500</v>
      </c>
      <c r="AB2" s="12">
        <v>306500</v>
      </c>
      <c r="AC2" s="142">
        <f t="shared" ref="AC2" si="5">K2</f>
        <v>10.5</v>
      </c>
      <c r="AD2" s="142">
        <f t="shared" ref="AD2" si="6">_xlfn.CEILING.MATH(MAX(K2,P2), 0.5)</f>
        <v>10.5</v>
      </c>
      <c r="AE2" s="12">
        <v>66</v>
      </c>
      <c r="AG2" s="143">
        <f t="shared" ref="AG2:AG3" si="7">AE2*AD2+AF2</f>
        <v>693</v>
      </c>
      <c r="AH2" s="132">
        <f t="shared" ref="AH2:AH3" si="8">AG2*AB2</f>
        <v>212404500</v>
      </c>
      <c r="AJ2" s="12">
        <v>9800000</v>
      </c>
      <c r="AK2" s="132">
        <f t="shared" ref="AK2:AK3" si="9">AJ2*AC2</f>
        <v>102900000</v>
      </c>
      <c r="AL2" s="134">
        <f t="shared" ref="AL2:AL3" si="10">AG2*AB2+AK2+AI2+AF2</f>
        <v>315304500</v>
      </c>
      <c r="AM2" s="179">
        <v>46257</v>
      </c>
      <c r="AP2" s="6">
        <f t="shared" ref="AP2:AP3" si="11">AL2-AN2-AO2</f>
        <v>315304500</v>
      </c>
      <c r="AU2" s="6">
        <f t="shared" ref="AU2:AU3" si="12">AS2*AT2/100</f>
        <v>0</v>
      </c>
      <c r="AW2" s="6">
        <f t="shared" ref="AW2:AW3" si="13">AS2*AV2/100</f>
        <v>0</v>
      </c>
      <c r="AY2" s="6">
        <f t="shared" ref="AY2:AY3" si="14">AS2*AX2/100</f>
        <v>0</v>
      </c>
    </row>
    <row r="3" spans="1:51" ht="20.25" customHeight="1" x14ac:dyDescent="0.2">
      <c r="A3" s="14">
        <v>98</v>
      </c>
      <c r="B3" s="14" t="s">
        <v>118</v>
      </c>
      <c r="C3" s="13" t="s">
        <v>47</v>
      </c>
      <c r="D3" s="14" t="s">
        <v>47</v>
      </c>
      <c r="E3" s="2" t="s">
        <v>44</v>
      </c>
      <c r="G3" s="189" t="s">
        <v>149</v>
      </c>
      <c r="H3" s="13" t="s">
        <v>150</v>
      </c>
      <c r="J3" s="14">
        <v>2</v>
      </c>
      <c r="K3" s="14">
        <v>8</v>
      </c>
      <c r="L3" s="14">
        <v>58</v>
      </c>
      <c r="M3" s="14">
        <v>19</v>
      </c>
      <c r="N3" s="14">
        <v>31</v>
      </c>
      <c r="O3" s="14">
        <v>37</v>
      </c>
      <c r="P3" s="135">
        <v>8.5</v>
      </c>
      <c r="T3" s="120">
        <f t="shared" si="1"/>
        <v>464</v>
      </c>
      <c r="U3" s="12">
        <v>306500</v>
      </c>
      <c r="V3" s="132">
        <f t="shared" si="2"/>
        <v>142216000</v>
      </c>
      <c r="X3" s="12">
        <f>70000000/8</f>
        <v>8750000</v>
      </c>
      <c r="Y3" s="12">
        <f t="shared" si="3"/>
        <v>70000000</v>
      </c>
      <c r="AA3" s="133">
        <f t="shared" si="4"/>
        <v>212216000</v>
      </c>
      <c r="AB3" s="12">
        <v>306500</v>
      </c>
      <c r="AC3" s="142">
        <f t="shared" ref="AC3" si="15">K3</f>
        <v>8</v>
      </c>
      <c r="AD3" s="142">
        <f t="shared" ref="AD3" si="16">_xlfn.CEILING.MATH(MAX(K3,P3), 0.5)</f>
        <v>8.5</v>
      </c>
      <c r="AE3" s="12">
        <v>68</v>
      </c>
      <c r="AG3" s="143">
        <f t="shared" si="7"/>
        <v>578</v>
      </c>
      <c r="AH3" s="132">
        <f t="shared" si="8"/>
        <v>177157000</v>
      </c>
      <c r="AJ3" s="12">
        <f>130000000/8</f>
        <v>16250000</v>
      </c>
      <c r="AK3" s="132">
        <f t="shared" si="9"/>
        <v>130000000</v>
      </c>
      <c r="AL3" s="134">
        <f t="shared" si="10"/>
        <v>307157000</v>
      </c>
      <c r="AM3" s="179">
        <v>46257</v>
      </c>
      <c r="AP3" s="6">
        <f t="shared" si="11"/>
        <v>307157000</v>
      </c>
      <c r="AU3" s="6">
        <f t="shared" si="12"/>
        <v>0</v>
      </c>
      <c r="AW3" s="6">
        <f t="shared" si="13"/>
        <v>0</v>
      </c>
      <c r="AY3" s="6">
        <f t="shared" si="14"/>
        <v>0</v>
      </c>
    </row>
    <row r="4" spans="1:51" ht="20.25" customHeight="1" x14ac:dyDescent="0.2">
      <c r="P4" s="135">
        <f t="shared" si="0"/>
        <v>0</v>
      </c>
      <c r="AA4" s="133">
        <f t="shared" si="4"/>
        <v>0</v>
      </c>
      <c r="AC4" s="142">
        <f t="shared" ref="AC4:AC11" si="17">K4</f>
        <v>0</v>
      </c>
      <c r="AD4" s="142">
        <f t="shared" ref="AD4:AD11" si="18">_xlfn.CEILING.MATH(MAX(K4,P4), 0.5)</f>
        <v>0</v>
      </c>
      <c r="AU4" s="6">
        <f t="shared" ref="AU4:AU5" si="19">AS4*AT4/100</f>
        <v>0</v>
      </c>
      <c r="AW4" s="6">
        <f t="shared" ref="AW4:AW5" si="20">AS4*AV4/100</f>
        <v>0</v>
      </c>
      <c r="AY4" s="6">
        <f t="shared" ref="AY4:AY5" si="21">AS4*AX4/100</f>
        <v>0</v>
      </c>
    </row>
    <row r="5" spans="1:51" ht="20.25" customHeight="1" x14ac:dyDescent="0.2">
      <c r="P5" s="135">
        <f t="shared" si="0"/>
        <v>0</v>
      </c>
      <c r="AA5" s="133">
        <f t="shared" si="4"/>
        <v>0</v>
      </c>
      <c r="AC5" s="142">
        <f t="shared" si="17"/>
        <v>0</v>
      </c>
      <c r="AD5" s="142">
        <f t="shared" si="18"/>
        <v>0</v>
      </c>
      <c r="AU5" s="6">
        <f t="shared" si="19"/>
        <v>0</v>
      </c>
      <c r="AW5" s="6">
        <f t="shared" si="20"/>
        <v>0</v>
      </c>
      <c r="AY5" s="6">
        <f t="shared" si="21"/>
        <v>0</v>
      </c>
    </row>
    <row r="6" spans="1:51" ht="20.25" customHeight="1" x14ac:dyDescent="0.2">
      <c r="AA6" s="133">
        <f t="shared" si="4"/>
        <v>0</v>
      </c>
      <c r="AC6" s="142">
        <f t="shared" si="17"/>
        <v>0</v>
      </c>
      <c r="AD6" s="142">
        <f t="shared" si="18"/>
        <v>0</v>
      </c>
      <c r="AP6" s="6">
        <f t="shared" ref="AP6" si="22">AL6-AN6-AO6</f>
        <v>0</v>
      </c>
    </row>
    <row r="7" spans="1:51" ht="20.25" customHeight="1" x14ac:dyDescent="0.2">
      <c r="AA7" s="133">
        <f t="shared" si="4"/>
        <v>0</v>
      </c>
      <c r="AC7" s="142">
        <f t="shared" si="17"/>
        <v>0</v>
      </c>
      <c r="AD7" s="142">
        <f t="shared" si="18"/>
        <v>0</v>
      </c>
      <c r="AP7" s="6">
        <f t="shared" ref="AP7:AP11" si="23">AL7-AN7-AO7</f>
        <v>0</v>
      </c>
    </row>
    <row r="8" spans="1:51" ht="20.25" customHeight="1" x14ac:dyDescent="0.2">
      <c r="AA8" s="133">
        <f t="shared" ref="AA8:AA11" si="24">(U8*T8)+W8+Y8+Z8+AQ8</f>
        <v>0</v>
      </c>
      <c r="AC8" s="142">
        <f t="shared" si="17"/>
        <v>0</v>
      </c>
      <c r="AD8" s="142">
        <f t="shared" si="18"/>
        <v>0</v>
      </c>
      <c r="AP8" s="6">
        <f t="shared" si="23"/>
        <v>0</v>
      </c>
    </row>
    <row r="9" spans="1:51" ht="20.25" customHeight="1" x14ac:dyDescent="0.2">
      <c r="AA9" s="133">
        <f t="shared" si="24"/>
        <v>0</v>
      </c>
      <c r="AC9" s="142">
        <f t="shared" si="17"/>
        <v>0</v>
      </c>
      <c r="AD9" s="142">
        <f t="shared" si="18"/>
        <v>0</v>
      </c>
      <c r="AP9" s="6">
        <f t="shared" si="23"/>
        <v>0</v>
      </c>
    </row>
    <row r="10" spans="1:51" ht="20.25" customHeight="1" x14ac:dyDescent="0.2">
      <c r="AA10" s="133">
        <f t="shared" si="24"/>
        <v>0</v>
      </c>
      <c r="AC10" s="142">
        <f t="shared" si="17"/>
        <v>0</v>
      </c>
      <c r="AD10" s="142">
        <f t="shared" si="18"/>
        <v>0</v>
      </c>
      <c r="AP10" s="6">
        <f t="shared" si="23"/>
        <v>0</v>
      </c>
    </row>
    <row r="11" spans="1:51" ht="20.25" customHeight="1" x14ac:dyDescent="0.2">
      <c r="AA11" s="133">
        <f t="shared" si="24"/>
        <v>0</v>
      </c>
      <c r="AC11" s="142">
        <f t="shared" si="17"/>
        <v>0</v>
      </c>
      <c r="AD11" s="142">
        <f t="shared" si="18"/>
        <v>0</v>
      </c>
      <c r="AP11" s="6">
        <f t="shared" si="23"/>
        <v>0</v>
      </c>
    </row>
  </sheetData>
  <autoFilter ref="A1:BA5" xr:uid="{0F2A9306-8086-42F9-A4B9-E691B8B2DDD0}"/>
  <phoneticPr fontId="2" type="noConversion"/>
  <pageMargins left="0.7" right="0.7" top="0.75" bottom="0.75" header="0.3" footer="0.3"/>
  <pageSetup orientation="portrait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184643B-E8D4-4C2F-95FD-C6F35C468B07}">
          <x14:formula1>
            <xm:f>'CUSTOMER LIST &amp; TRACKING'!$D:$D</xm:f>
          </x14:formula1>
          <xm:sqref>E1:E1048576</xm:sqref>
        </x14:dataValidation>
        <x14:dataValidation type="list" allowBlank="1" showInputMessage="1" showErrorMessage="1" xr:uid="{FC7B6CEE-FC4F-4D8D-8614-38A04B228AA3}">
          <x14:formula1>
            <xm:f>'CUSTOMER LIST &amp; TRACKING'!$A:$A</xm:f>
          </x14:formula1>
          <xm:sqref>B1:B1048576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90CDE-CC7F-4DD7-B337-323C73079D35}">
  <dimension ref="A1:I39"/>
  <sheetViews>
    <sheetView tabSelected="1" workbookViewId="0">
      <selection activeCell="H7" sqref="H7:I7"/>
    </sheetView>
  </sheetViews>
  <sheetFormatPr defaultRowHeight="15" x14ac:dyDescent="0.2"/>
  <cols>
    <col min="1" max="1" width="2.6875" customWidth="1"/>
    <col min="2" max="2" width="7.93359375" customWidth="1"/>
    <col min="3" max="3" width="24.6171875" customWidth="1"/>
    <col min="4" max="4" width="11.1640625" customWidth="1"/>
    <col min="5" max="5" width="11.02734375" customWidth="1"/>
    <col min="6" max="6" width="13.71875" customWidth="1"/>
    <col min="7" max="7" width="15.73828125" customWidth="1"/>
    <col min="8" max="8" width="17.484375" customWidth="1"/>
    <col min="9" max="9" width="19.50390625" customWidth="1"/>
  </cols>
  <sheetData>
    <row r="1" spans="1:9" x14ac:dyDescent="0.2">
      <c r="A1" s="201"/>
      <c r="B1" s="201"/>
      <c r="C1" s="201"/>
      <c r="D1" s="18"/>
      <c r="E1" s="18"/>
      <c r="F1" s="18"/>
      <c r="G1" s="202"/>
      <c r="H1" s="202"/>
      <c r="I1" s="202"/>
    </row>
    <row r="2" spans="1:9" ht="18.75" x14ac:dyDescent="0.2">
      <c r="A2" s="201"/>
      <c r="B2" s="201"/>
      <c r="C2" s="201"/>
      <c r="D2" s="18"/>
      <c r="E2" s="197"/>
      <c r="F2" s="197"/>
      <c r="G2" s="18"/>
      <c r="H2" s="203"/>
      <c r="I2" s="203"/>
    </row>
    <row r="3" spans="1:9" ht="14.25" customHeight="1" x14ac:dyDescent="0.2">
      <c r="A3" s="18"/>
      <c r="B3" s="18"/>
      <c r="C3" s="18"/>
      <c r="D3" s="18"/>
      <c r="E3" s="18"/>
      <c r="F3" s="18"/>
      <c r="G3" s="18"/>
      <c r="H3" s="18"/>
      <c r="I3" s="157"/>
    </row>
    <row r="4" spans="1:9" ht="22.5" customHeight="1" x14ac:dyDescent="0.2">
      <c r="A4" s="18"/>
      <c r="B4" s="190" t="s">
        <v>157</v>
      </c>
      <c r="C4" s="190"/>
      <c r="D4" s="195" t="str">
        <f>_xlfn.XLOOKUP(H7,'INTER DATA'!G:G,'INTER DATA'!B:B)</f>
        <v>محمد رئیسی</v>
      </c>
      <c r="E4" s="195" t="s">
        <v>201</v>
      </c>
      <c r="F4" s="204" t="s">
        <v>203</v>
      </c>
      <c r="G4" s="204"/>
      <c r="H4" s="204"/>
      <c r="I4" s="204"/>
    </row>
    <row r="5" spans="1:9" ht="9" customHeight="1" x14ac:dyDescent="0.2">
      <c r="A5" s="18"/>
      <c r="B5" s="195"/>
      <c r="C5" s="195"/>
      <c r="E5" s="18"/>
      <c r="F5" s="204"/>
      <c r="G5" s="204"/>
      <c r="H5" s="204"/>
      <c r="I5" s="204"/>
    </row>
    <row r="6" spans="1:9" x14ac:dyDescent="0.2">
      <c r="A6" s="18"/>
      <c r="B6" s="200" t="s">
        <v>158</v>
      </c>
      <c r="C6" s="200"/>
      <c r="D6" s="158"/>
      <c r="E6" s="18"/>
      <c r="F6" s="18"/>
      <c r="G6" s="18"/>
      <c r="H6" s="18"/>
      <c r="I6" s="18"/>
    </row>
    <row r="7" spans="1:9" x14ac:dyDescent="0.2">
      <c r="A7" s="18"/>
      <c r="B7" s="18"/>
      <c r="C7" s="18"/>
      <c r="D7" s="18"/>
      <c r="E7" s="18"/>
      <c r="F7" s="200" t="s">
        <v>159</v>
      </c>
      <c r="G7" s="200"/>
      <c r="H7" s="205" t="s">
        <v>147</v>
      </c>
      <c r="I7" s="206"/>
    </row>
    <row r="8" spans="1:9" x14ac:dyDescent="0.2">
      <c r="A8" s="18"/>
      <c r="B8" s="18"/>
      <c r="C8" s="18"/>
      <c r="D8" s="18"/>
      <c r="E8" s="18"/>
      <c r="F8" s="200" t="s">
        <v>160</v>
      </c>
      <c r="G8" s="200"/>
      <c r="H8" s="207">
        <f>_xlfn.XLOOKUP(H7,'INTER DATA'!G:G,'INTER DATA'!AM:AM)</f>
        <v>46257</v>
      </c>
      <c r="I8" s="208"/>
    </row>
    <row r="9" spans="1:9" x14ac:dyDescent="0.2">
      <c r="A9" s="18"/>
      <c r="B9" s="18"/>
      <c r="C9" s="18"/>
      <c r="D9" s="18"/>
      <c r="E9" s="18"/>
      <c r="F9" s="200" t="s">
        <v>161</v>
      </c>
      <c r="G9" s="200"/>
      <c r="H9" s="205" t="s">
        <v>162</v>
      </c>
      <c r="I9" s="206"/>
    </row>
    <row r="10" spans="1:9" x14ac:dyDescent="0.2">
      <c r="A10" s="18"/>
      <c r="B10" s="200" t="s">
        <v>206</v>
      </c>
      <c r="C10" s="200"/>
      <c r="D10" s="18"/>
      <c r="E10" s="18"/>
      <c r="F10" s="200" t="s">
        <v>163</v>
      </c>
      <c r="G10" s="200"/>
      <c r="H10" s="205" t="s">
        <v>164</v>
      </c>
      <c r="I10" s="206"/>
    </row>
    <row r="11" spans="1:9" x14ac:dyDescent="0.2">
      <c r="A11" s="18"/>
      <c r="B11" s="18"/>
      <c r="C11" s="18"/>
      <c r="D11" s="18"/>
      <c r="E11" s="18"/>
      <c r="F11" s="200" t="s">
        <v>42</v>
      </c>
      <c r="G11" s="200"/>
      <c r="H11" s="205" t="s">
        <v>166</v>
      </c>
      <c r="I11" s="206"/>
    </row>
    <row r="12" spans="1:9" x14ac:dyDescent="0.2">
      <c r="A12" s="18"/>
      <c r="B12" s="211" t="s">
        <v>165</v>
      </c>
      <c r="C12" s="211"/>
      <c r="D12" s="211"/>
      <c r="E12" s="211"/>
      <c r="F12" s="211"/>
      <c r="G12" s="211"/>
      <c r="H12" s="211"/>
      <c r="I12" s="211"/>
    </row>
    <row r="13" spans="1:9" ht="7.5" customHeight="1" x14ac:dyDescent="0.2">
      <c r="A13" s="18"/>
      <c r="B13" s="183"/>
      <c r="C13" s="182"/>
      <c r="D13" s="182"/>
      <c r="E13" s="182"/>
      <c r="F13" s="182"/>
      <c r="G13" s="182"/>
      <c r="H13" s="182"/>
      <c r="I13" s="182"/>
    </row>
    <row r="14" spans="1:9" ht="25.5" customHeight="1" x14ac:dyDescent="0.2">
      <c r="A14" s="18"/>
      <c r="B14" s="186" t="s">
        <v>188</v>
      </c>
      <c r="C14" s="186">
        <f>_xlfn.XLOOKUP(H7,'INTER DATA'!G:G,'INTER DATA'!AC:AC)</f>
        <v>10.5</v>
      </c>
      <c r="D14" s="159" t="s">
        <v>202</v>
      </c>
      <c r="E14" s="181" t="str">
        <f>_xlfn.XLOOKUP(H7,'INTER DATA'!G:G,'INTER DATA'!M:M)&amp;"*"&amp;_xlfn.XLOOKUP(H7,'INTER DATA'!G:G,'INTER DATA'!N:N)&amp;"*"&amp;_xlfn.XLOOKUP(H7,'INTER DATA'!G:G,'INTER DATA'!O:O)</f>
        <v>25*26*39</v>
      </c>
      <c r="F14" s="159" t="s">
        <v>189</v>
      </c>
      <c r="G14" s="181">
        <f>_xlfn.XLOOKUP(H7,'INTER DATA'!G:G,'INTER DATA'!P:P)</f>
        <v>5.07</v>
      </c>
      <c r="H14" s="159" t="s">
        <v>190</v>
      </c>
      <c r="I14" s="184">
        <f>_xlfn.XLOOKUP(H7,'INTER DATA'!G:G,'INTER DATA'!AD:AD)</f>
        <v>10.5</v>
      </c>
    </row>
    <row r="15" spans="1:9" ht="27" customHeight="1" x14ac:dyDescent="0.2">
      <c r="A15" s="18"/>
      <c r="B15" s="160" t="s">
        <v>191</v>
      </c>
      <c r="C15" s="212" t="str">
        <f>_xlfn.XLOOKUP(H7,'INTER DATA'!G:G,'INTER DATA'!H:H)</f>
        <v>Oil Seal</v>
      </c>
      <c r="D15" s="212" t="s">
        <v>167</v>
      </c>
      <c r="E15" s="212"/>
      <c r="F15" s="212"/>
      <c r="G15" s="212"/>
      <c r="H15" s="212"/>
      <c r="I15" s="162"/>
    </row>
    <row r="16" spans="1:9" ht="8.25" customHeight="1" x14ac:dyDescent="0.2">
      <c r="A16" s="18"/>
      <c r="B16" s="18"/>
      <c r="C16" s="18"/>
      <c r="D16" s="18"/>
      <c r="E16" s="18"/>
      <c r="G16" s="18"/>
      <c r="H16" s="18"/>
      <c r="I16" s="18"/>
    </row>
    <row r="17" spans="1:9" ht="18.75" customHeight="1" x14ac:dyDescent="0.2">
      <c r="A17" s="18"/>
      <c r="B17" s="163" t="s">
        <v>168</v>
      </c>
      <c r="C17" s="164" t="s">
        <v>169</v>
      </c>
      <c r="D17" s="164" t="s">
        <v>170</v>
      </c>
      <c r="E17" s="164" t="s">
        <v>171</v>
      </c>
      <c r="F17" s="164" t="s">
        <v>172</v>
      </c>
      <c r="G17" s="164" t="s">
        <v>205</v>
      </c>
      <c r="H17" s="164" t="s">
        <v>204</v>
      </c>
      <c r="I17" s="165" t="s">
        <v>173</v>
      </c>
    </row>
    <row r="18" spans="1:9" ht="18.75" customHeight="1" x14ac:dyDescent="0.2">
      <c r="A18" s="18"/>
      <c r="B18" s="166">
        <v>1</v>
      </c>
      <c r="C18" s="161" t="s">
        <v>174</v>
      </c>
      <c r="D18" s="167" t="s">
        <v>175</v>
      </c>
      <c r="E18" s="168">
        <f>_xlfn.XLOOKUP(H7,'INTER DATA'!G:G,'INTER DATA'!AD:AD)</f>
        <v>10.5</v>
      </c>
      <c r="F18" s="168">
        <f>_xlfn.XLOOKUP(H7,'INTER DATA'!G:G,'INTER DATA'!AE:AE)</f>
        <v>66</v>
      </c>
      <c r="G18" s="168">
        <f>_xlfn.XLOOKUP(H7,'INTER DATA'!G:G,'INTER DATA'!AG:AG)</f>
        <v>693</v>
      </c>
      <c r="H18" s="174">
        <f>_xlfn.XLOOKUP(H7,'INTER DATA'!G:G,'INTER DATA'!AH:AH)</f>
        <v>212404500</v>
      </c>
      <c r="I18" s="161"/>
    </row>
    <row r="19" spans="1:9" ht="18.75" customHeight="1" x14ac:dyDescent="0.2">
      <c r="A19" s="18"/>
      <c r="B19" s="169">
        <v>2</v>
      </c>
      <c r="C19" s="170" t="s">
        <v>196</v>
      </c>
      <c r="D19" s="171"/>
      <c r="E19" s="172">
        <v>0</v>
      </c>
      <c r="F19" s="172">
        <v>0</v>
      </c>
      <c r="G19" s="172">
        <f>IF(OR(E19=0,F19=0),0,E19*F19)</f>
        <v>0</v>
      </c>
      <c r="H19" s="172">
        <v>0</v>
      </c>
      <c r="I19" s="170"/>
    </row>
    <row r="20" spans="1:9" ht="18.75" customHeight="1" x14ac:dyDescent="0.2">
      <c r="A20" s="18"/>
      <c r="B20" s="166">
        <v>3</v>
      </c>
      <c r="C20" s="161" t="s">
        <v>197</v>
      </c>
      <c r="D20" s="167"/>
      <c r="E20" s="168">
        <v>0</v>
      </c>
      <c r="F20" s="168">
        <v>0</v>
      </c>
      <c r="G20" s="168">
        <f>IF(OR(E20=0,F20=0),0,E20*F20)</f>
        <v>0</v>
      </c>
      <c r="H20" s="168">
        <v>0</v>
      </c>
      <c r="I20" s="161"/>
    </row>
    <row r="21" spans="1:9" ht="18.75" customHeight="1" x14ac:dyDescent="0.2">
      <c r="A21" s="18"/>
      <c r="B21" s="169">
        <v>4</v>
      </c>
      <c r="C21" s="170" t="s">
        <v>176</v>
      </c>
      <c r="D21" s="171"/>
      <c r="E21" s="172">
        <v>0</v>
      </c>
      <c r="F21" s="172">
        <v>0</v>
      </c>
      <c r="G21" s="172">
        <f>IF(OR(E21=0,F21=0),0,E21*F21)</f>
        <v>0</v>
      </c>
      <c r="H21" s="172">
        <v>0</v>
      </c>
      <c r="I21" s="170"/>
    </row>
    <row r="22" spans="1:9" ht="18.75" customHeight="1" x14ac:dyDescent="0.2">
      <c r="A22" s="18"/>
      <c r="B22" s="166">
        <v>5</v>
      </c>
      <c r="C22" s="161" t="s">
        <v>198</v>
      </c>
      <c r="D22" s="167"/>
      <c r="E22" s="168">
        <v>0</v>
      </c>
      <c r="F22" s="168">
        <v>0</v>
      </c>
      <c r="G22" s="168">
        <f>IF(OR(E22=0,F22=0),0,E22*F22)</f>
        <v>0</v>
      </c>
      <c r="H22" s="168">
        <v>0</v>
      </c>
      <c r="I22" s="161"/>
    </row>
    <row r="23" spans="1:9" ht="18.75" customHeight="1" x14ac:dyDescent="0.2">
      <c r="A23" s="18"/>
      <c r="B23" s="169">
        <v>6</v>
      </c>
      <c r="C23" s="170" t="s">
        <v>177</v>
      </c>
      <c r="D23" s="171" t="s">
        <v>178</v>
      </c>
      <c r="E23" s="172">
        <f>_xlfn.XLOOKUP(H7,'INTER DATA'!G:G,'INTER DATA'!AC:AC)</f>
        <v>10.5</v>
      </c>
      <c r="F23" s="173">
        <f>_xlfn.XLOOKUP(H7,'INTER DATA'!G:G,'INTER DATA'!AJ:AJ)</f>
        <v>9800000</v>
      </c>
      <c r="G23" s="172">
        <f>IFERROR(E23*F23/C31,0)</f>
        <v>335.72593800978791</v>
      </c>
      <c r="H23" s="173">
        <f>_xlfn.XLOOKUP(H7,'INTER DATA'!G:G,'INTER DATA'!AK:AK)</f>
        <v>102900000</v>
      </c>
      <c r="I23" s="170"/>
    </row>
    <row r="24" spans="1:9" ht="21" customHeight="1" x14ac:dyDescent="0.2">
      <c r="A24" s="18"/>
      <c r="B24" s="166">
        <v>7</v>
      </c>
      <c r="C24" s="161" t="s">
        <v>199</v>
      </c>
      <c r="D24" s="167"/>
      <c r="E24" s="168">
        <v>0</v>
      </c>
      <c r="F24" s="168">
        <v>0</v>
      </c>
      <c r="G24" s="168">
        <f>IF(OR(E24=0,F24=0),0,E24*F24)</f>
        <v>0</v>
      </c>
      <c r="H24" s="174">
        <v>0</v>
      </c>
      <c r="I24" s="161"/>
    </row>
    <row r="25" spans="1:9" ht="18.75" customHeight="1" x14ac:dyDescent="0.2">
      <c r="A25" s="18"/>
      <c r="B25" s="169">
        <v>8</v>
      </c>
      <c r="C25" s="170" t="s">
        <v>179</v>
      </c>
      <c r="D25" s="171"/>
      <c r="E25" s="172">
        <v>0</v>
      </c>
      <c r="F25" s="172">
        <v>0</v>
      </c>
      <c r="G25" s="172">
        <f>IF(OR(E25=0,F25=0),0,E25*F25)</f>
        <v>0</v>
      </c>
      <c r="H25" s="173">
        <v>0</v>
      </c>
      <c r="I25" s="170"/>
    </row>
    <row r="26" spans="1:9" ht="18.75" customHeight="1" x14ac:dyDescent="0.2">
      <c r="A26" s="18"/>
      <c r="B26" s="166">
        <v>9</v>
      </c>
      <c r="C26" s="161" t="s">
        <v>180</v>
      </c>
      <c r="D26" s="167"/>
      <c r="E26" s="168">
        <v>0</v>
      </c>
      <c r="F26" s="168">
        <v>0</v>
      </c>
      <c r="G26" s="168">
        <f>IF(OR(E26=0,F26=0),0,E26*F26)</f>
        <v>0</v>
      </c>
      <c r="H26" s="174">
        <v>0</v>
      </c>
      <c r="I26" s="161"/>
    </row>
    <row r="27" spans="1:9" ht="18.75" customHeight="1" x14ac:dyDescent="0.2">
      <c r="A27" s="18"/>
      <c r="B27" s="169">
        <v>10</v>
      </c>
      <c r="C27" s="170" t="s">
        <v>181</v>
      </c>
      <c r="D27" s="171"/>
      <c r="E27" s="172">
        <v>0</v>
      </c>
      <c r="F27" s="172">
        <v>0</v>
      </c>
      <c r="G27" s="172">
        <f>IF(OR(E27=0,F27=0),0,E27*F27)</f>
        <v>0</v>
      </c>
      <c r="H27" s="173">
        <v>0</v>
      </c>
      <c r="I27" s="170"/>
    </row>
    <row r="28" spans="1:9" x14ac:dyDescent="0.2">
      <c r="A28" s="18"/>
      <c r="B28" s="18"/>
      <c r="C28" s="18"/>
      <c r="D28" s="18"/>
      <c r="E28" s="175"/>
      <c r="F28" s="175"/>
      <c r="G28" s="175"/>
      <c r="H28" s="176"/>
      <c r="I28" s="18"/>
    </row>
    <row r="29" spans="1:9" x14ac:dyDescent="0.2">
      <c r="A29" s="18"/>
      <c r="B29" s="213"/>
      <c r="C29" s="213"/>
      <c r="D29" s="213"/>
      <c r="E29" s="193" t="s">
        <v>182</v>
      </c>
      <c r="F29" s="193"/>
      <c r="G29" s="196">
        <f>SUM(G18:G22)</f>
        <v>693</v>
      </c>
      <c r="H29" s="192">
        <f>SUM(H18:H22)</f>
        <v>212404500</v>
      </c>
      <c r="I29" s="158"/>
    </row>
    <row r="30" spans="1:9" x14ac:dyDescent="0.2">
      <c r="A30" s="18"/>
      <c r="B30" s="177"/>
      <c r="C30" s="198" t="s">
        <v>192</v>
      </c>
      <c r="D30" s="185"/>
      <c r="E30" s="193" t="s">
        <v>183</v>
      </c>
      <c r="F30" s="193"/>
      <c r="G30" s="196">
        <f>SUM(G23:G27)</f>
        <v>335.72593800978791</v>
      </c>
      <c r="H30" s="192">
        <f>SUM(H23:H27)</f>
        <v>102900000</v>
      </c>
      <c r="I30" s="158"/>
    </row>
    <row r="31" spans="1:9" x14ac:dyDescent="0.2">
      <c r="A31" s="18"/>
      <c r="B31" s="177"/>
      <c r="C31" s="199">
        <f>_xlfn.XLOOKUP(H7,'INTER DATA'!G:G,'INTER DATA'!AB:AB)</f>
        <v>306500</v>
      </c>
      <c r="D31" s="177"/>
      <c r="E31" s="194" t="s">
        <v>200</v>
      </c>
      <c r="F31" s="157"/>
      <c r="G31" s="191">
        <f>SUM(G29:G30)</f>
        <v>1028.725938009788</v>
      </c>
      <c r="H31" s="210">
        <f>SUM(H18:H27)</f>
        <v>315304500</v>
      </c>
      <c r="I31" s="210"/>
    </row>
    <row r="32" spans="1:9" ht="5.25" customHeight="1" x14ac:dyDescent="0.2">
      <c r="A32" s="18"/>
      <c r="B32" s="177"/>
      <c r="C32" s="177"/>
      <c r="D32" s="177"/>
      <c r="E32" s="18"/>
      <c r="F32" s="18"/>
      <c r="G32" s="18"/>
      <c r="H32" s="18"/>
      <c r="I32" s="18"/>
    </row>
    <row r="33" spans="1:9" ht="4.5" customHeight="1" x14ac:dyDescent="0.2">
      <c r="A33" s="18"/>
      <c r="B33" s="18"/>
      <c r="C33" s="18"/>
      <c r="D33" s="18"/>
      <c r="E33" s="18"/>
      <c r="F33" s="18"/>
      <c r="G33" s="18"/>
      <c r="H33" s="18"/>
      <c r="I33" s="18"/>
    </row>
    <row r="34" spans="1:9" ht="15" customHeight="1" x14ac:dyDescent="0.2">
      <c r="A34" s="18"/>
      <c r="B34" s="214" t="s">
        <v>184</v>
      </c>
      <c r="C34" s="214"/>
      <c r="D34" s="214"/>
      <c r="E34" s="215"/>
      <c r="F34" s="215"/>
      <c r="G34" s="215"/>
      <c r="H34" s="215"/>
      <c r="I34" s="215"/>
    </row>
    <row r="35" spans="1:9" x14ac:dyDescent="0.2">
      <c r="A35" s="18"/>
      <c r="B35" s="216" t="s">
        <v>185</v>
      </c>
      <c r="C35" s="216"/>
      <c r="D35" s="216"/>
      <c r="E35" s="216"/>
      <c r="F35" s="216"/>
      <c r="G35" s="217" t="s">
        <v>186</v>
      </c>
      <c r="H35" s="217"/>
      <c r="I35" s="217"/>
    </row>
    <row r="36" spans="1:9" ht="5.25" customHeight="1" x14ac:dyDescent="0.2">
      <c r="A36" s="18"/>
      <c r="B36" s="216"/>
      <c r="C36" s="216"/>
      <c r="D36" s="216"/>
      <c r="E36" s="216"/>
      <c r="F36" s="216"/>
      <c r="G36" s="216"/>
      <c r="H36" s="216"/>
      <c r="I36" s="216"/>
    </row>
    <row r="37" spans="1:9" ht="8.25" customHeight="1" x14ac:dyDescent="0.2">
      <c r="A37" s="18"/>
      <c r="B37" s="216"/>
      <c r="C37" s="218"/>
      <c r="D37" s="218"/>
      <c r="E37" s="216"/>
      <c r="F37" s="216"/>
      <c r="G37" s="216"/>
      <c r="H37" s="216"/>
      <c r="I37" s="216"/>
    </row>
    <row r="38" spans="1:9" ht="11.25" customHeight="1" x14ac:dyDescent="0.2">
      <c r="A38" s="18"/>
      <c r="B38" s="209"/>
      <c r="C38" s="209"/>
      <c r="D38" s="209"/>
      <c r="E38" s="18"/>
      <c r="F38" s="18"/>
      <c r="G38" s="18"/>
      <c r="H38" s="18"/>
      <c r="I38" s="18"/>
    </row>
    <row r="39" spans="1:9" ht="12.75" customHeight="1" x14ac:dyDescent="0.2">
      <c r="A39" s="202"/>
      <c r="B39" s="202"/>
      <c r="C39" s="202"/>
      <c r="D39" s="202"/>
      <c r="E39" s="18"/>
      <c r="F39" s="18"/>
      <c r="G39" s="18"/>
      <c r="H39" s="18"/>
      <c r="I39" s="18"/>
    </row>
  </sheetData>
  <mergeCells count="28">
    <mergeCell ref="B35:I37"/>
    <mergeCell ref="B38:D38"/>
    <mergeCell ref="A39:D39"/>
    <mergeCell ref="H31:I31"/>
    <mergeCell ref="F10:G10"/>
    <mergeCell ref="H10:I10"/>
    <mergeCell ref="B12:I12"/>
    <mergeCell ref="C15:D15"/>
    <mergeCell ref="E15:F15"/>
    <mergeCell ref="G15:H15"/>
    <mergeCell ref="H11:I11"/>
    <mergeCell ref="F11:G11"/>
    <mergeCell ref="B29:D29"/>
    <mergeCell ref="B10:C10"/>
    <mergeCell ref="B34:D34"/>
    <mergeCell ref="E34:F34"/>
    <mergeCell ref="G34:I34"/>
    <mergeCell ref="F7:G7"/>
    <mergeCell ref="H7:I7"/>
    <mergeCell ref="F8:G8"/>
    <mergeCell ref="H8:I8"/>
    <mergeCell ref="F9:G9"/>
    <mergeCell ref="H9:I9"/>
    <mergeCell ref="B6:C6"/>
    <mergeCell ref="A1:C2"/>
    <mergeCell ref="G1:I1"/>
    <mergeCell ref="H2:I2"/>
    <mergeCell ref="F4:I5"/>
  </mergeCells>
  <pageMargins left="0.45" right="0.7" top="0" bottom="0" header="0" footer="0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91B52-5915-428B-973C-2CEA94624297}">
  <dimension ref="A1:J28"/>
  <sheetViews>
    <sheetView rightToLeft="1" workbookViewId="0">
      <selection activeCell="H1" sqref="H1"/>
    </sheetView>
  </sheetViews>
  <sheetFormatPr defaultRowHeight="18" customHeight="1" x14ac:dyDescent="0.2"/>
  <cols>
    <col min="1" max="1" width="7.93359375" customWidth="1"/>
    <col min="2" max="2" width="27.3046875" customWidth="1"/>
    <col min="3" max="3" width="8.33984375" customWidth="1"/>
    <col min="4" max="4" width="10.89453125" customWidth="1"/>
    <col min="5" max="5" width="13.44921875" customWidth="1"/>
    <col min="6" max="6" width="16.8125" customWidth="1"/>
    <col min="7" max="7" width="16.6796875" customWidth="1"/>
    <col min="8" max="8" width="28.25" customWidth="1"/>
    <col min="9" max="9" width="3.359375" hidden="1" customWidth="1"/>
  </cols>
  <sheetData>
    <row r="1" spans="1:10" ht="16.149999999999999" customHeight="1" thickTop="1" thickBot="1" x14ac:dyDescent="0.25">
      <c r="A1" s="18"/>
      <c r="B1" s="18"/>
      <c r="C1" s="18"/>
      <c r="D1" s="18"/>
      <c r="E1" s="81" t="s">
        <v>85</v>
      </c>
      <c r="F1" s="146" t="s">
        <v>195</v>
      </c>
      <c r="G1" s="81" t="s">
        <v>86</v>
      </c>
      <c r="H1" s="13" t="s">
        <v>147</v>
      </c>
    </row>
    <row r="2" spans="1:10" ht="14.45" customHeight="1" thickTop="1" thickBot="1" x14ac:dyDescent="0.25">
      <c r="A2" s="33" t="s">
        <v>48</v>
      </c>
      <c r="B2" s="33"/>
      <c r="C2" s="33"/>
      <c r="D2" s="33"/>
      <c r="E2" s="33"/>
      <c r="F2" s="33"/>
      <c r="G2" s="33"/>
      <c r="H2" s="144"/>
      <c r="I2" s="33"/>
      <c r="J2" s="34"/>
    </row>
    <row r="3" spans="1:10" ht="18" customHeight="1" thickTop="1" x14ac:dyDescent="0.2">
      <c r="A3" s="121" t="s">
        <v>61</v>
      </c>
      <c r="B3" s="122" t="str">
        <f>_xlfn.XLOOKUP(H1,'INTER DATA'!G:G,'INTER DATA'!B:B)</f>
        <v>محمد رئیسی</v>
      </c>
      <c r="C3" s="66"/>
      <c r="D3" s="68"/>
      <c r="E3" s="69" t="s">
        <v>49</v>
      </c>
      <c r="F3" s="70"/>
      <c r="G3" s="70"/>
      <c r="H3" s="67"/>
      <c r="I3" s="22"/>
      <c r="J3" s="34"/>
    </row>
    <row r="4" spans="1:10" ht="18" customHeight="1" thickBot="1" x14ac:dyDescent="0.25">
      <c r="A4" s="71" t="s">
        <v>59</v>
      </c>
      <c r="B4" s="72"/>
      <c r="C4" s="72"/>
      <c r="D4" s="72"/>
      <c r="E4" s="72"/>
      <c r="F4" s="72"/>
      <c r="G4" s="72"/>
      <c r="H4" s="73"/>
      <c r="I4" s="32"/>
      <c r="J4" s="34"/>
    </row>
    <row r="5" spans="1:10" ht="27.75" customHeight="1" thickTop="1" thickBot="1" x14ac:dyDescent="0.25">
      <c r="A5" s="98" t="s">
        <v>50</v>
      </c>
      <c r="B5" s="26"/>
      <c r="C5" s="26"/>
      <c r="D5" s="26"/>
      <c r="E5" s="26"/>
      <c r="F5" s="26"/>
      <c r="G5" s="26"/>
      <c r="H5" s="99"/>
      <c r="I5" s="35"/>
      <c r="J5" s="34"/>
    </row>
    <row r="6" spans="1:10" ht="18" customHeight="1" thickTop="1" x14ac:dyDescent="0.2">
      <c r="A6" s="85" t="s">
        <v>78</v>
      </c>
      <c r="B6" s="79" t="s">
        <v>62</v>
      </c>
      <c r="C6" s="92"/>
      <c r="D6" s="82" t="s">
        <v>87</v>
      </c>
      <c r="E6" s="89">
        <f>_xlfn.XLOOKUP(H1,'INTER DATA'!G:G,'INTER DATA'!AC:AC)</f>
        <v>10.5</v>
      </c>
      <c r="F6" s="82" t="s">
        <v>90</v>
      </c>
      <c r="G6" s="95" t="str">
        <f>VLOOKUP(H1,'INTER DATA'!G:AY,2,FALSE)</f>
        <v>Oil Seal</v>
      </c>
      <c r="H6" s="76"/>
      <c r="I6" s="23"/>
      <c r="J6" s="34"/>
    </row>
    <row r="7" spans="1:10" ht="18" customHeight="1" x14ac:dyDescent="0.2">
      <c r="A7" s="86" t="s">
        <v>80</v>
      </c>
      <c r="B7" s="36" t="s">
        <v>81</v>
      </c>
      <c r="C7" s="93"/>
      <c r="D7" s="83" t="s">
        <v>115</v>
      </c>
      <c r="E7" s="90">
        <f>_xlfn.XLOOKUP(H1,'INTER DATA'!G:G,'INTER DATA'!M:M)*_xlfn.XLOOKUP(H1,'INTER DATA'!G:G,'INTER DATA'!N:N)*_xlfn.XLOOKUP(H1,'INTER DATA'!G:G,'INTER DATA'!O:O)</f>
        <v>25350</v>
      </c>
      <c r="F7" s="83" t="s">
        <v>89</v>
      </c>
      <c r="G7" s="80"/>
      <c r="H7" s="77"/>
      <c r="I7" s="24"/>
      <c r="J7" s="34"/>
    </row>
    <row r="8" spans="1:10" ht="18" customHeight="1" thickBot="1" x14ac:dyDescent="0.25">
      <c r="A8" s="87" t="s">
        <v>77</v>
      </c>
      <c r="B8" s="58" t="s">
        <v>60</v>
      </c>
      <c r="C8" s="94"/>
      <c r="D8" s="84" t="s">
        <v>88</v>
      </c>
      <c r="E8" s="91">
        <f>_xlfn.XLOOKUP(H1,'INTER DATA'!G:G,'INTER DATA'!AD:AD)</f>
        <v>10.5</v>
      </c>
      <c r="F8" s="84" t="s">
        <v>91</v>
      </c>
      <c r="G8" s="96">
        <f>_xlfn.XLOOKUP(H1,'INTER DATA'!G:G,'INTER DATA'!AB:AB)</f>
        <v>306500</v>
      </c>
      <c r="H8" s="78"/>
      <c r="I8" s="25"/>
      <c r="J8" s="34"/>
    </row>
    <row r="9" spans="1:10" ht="24" customHeight="1" thickTop="1" thickBot="1" x14ac:dyDescent="0.25">
      <c r="A9" s="98" t="s">
        <v>65</v>
      </c>
      <c r="B9" s="26"/>
      <c r="C9" s="26"/>
      <c r="D9" s="26"/>
      <c r="E9" s="26"/>
      <c r="F9" s="26"/>
      <c r="G9" s="26"/>
      <c r="H9" s="99"/>
      <c r="I9" s="26"/>
      <c r="J9" s="34"/>
    </row>
    <row r="10" spans="1:10" ht="24.75" customHeight="1" thickTop="1" x14ac:dyDescent="0.2">
      <c r="A10" s="61" t="s">
        <v>51</v>
      </c>
      <c r="B10" s="62" t="s">
        <v>64</v>
      </c>
      <c r="C10" s="63" t="s">
        <v>52</v>
      </c>
      <c r="D10" s="63" t="s">
        <v>53</v>
      </c>
      <c r="E10" s="63" t="s">
        <v>54</v>
      </c>
      <c r="F10" s="63" t="s">
        <v>70</v>
      </c>
      <c r="G10" s="64" t="s">
        <v>71</v>
      </c>
      <c r="H10" s="65" t="s">
        <v>73</v>
      </c>
      <c r="I10" s="16"/>
      <c r="J10" s="34"/>
    </row>
    <row r="11" spans="1:10" ht="18" customHeight="1" x14ac:dyDescent="0.2">
      <c r="A11" s="55">
        <v>1</v>
      </c>
      <c r="B11" s="36" t="s">
        <v>79</v>
      </c>
      <c r="C11" s="27">
        <f>_xlfn.XLOOKUP(H1,'INTER DATA'!G:G,'INTER DATA'!AD:AD)</f>
        <v>10.5</v>
      </c>
      <c r="D11" s="27" t="s">
        <v>56</v>
      </c>
      <c r="E11" s="97">
        <f>VLOOKUP(H1,'INTER DATA'!G:AY,25,FALSE)</f>
        <v>66</v>
      </c>
      <c r="F11" s="97">
        <f>C11*E11</f>
        <v>693</v>
      </c>
      <c r="G11" s="28">
        <f>F11*G8</f>
        <v>212404500</v>
      </c>
      <c r="H11" s="45"/>
      <c r="I11" s="17"/>
      <c r="J11" s="34"/>
    </row>
    <row r="12" spans="1:10" ht="18" customHeight="1" x14ac:dyDescent="0.2">
      <c r="A12" s="56">
        <v>2</v>
      </c>
      <c r="B12" s="36" t="s">
        <v>67</v>
      </c>
      <c r="C12" s="29">
        <v>0</v>
      </c>
      <c r="D12" s="29"/>
      <c r="E12" s="29"/>
      <c r="F12" s="29"/>
      <c r="G12" s="30"/>
      <c r="H12" s="46"/>
      <c r="I12" s="17"/>
      <c r="J12" s="34"/>
    </row>
    <row r="13" spans="1:10" ht="18" customHeight="1" x14ac:dyDescent="0.2">
      <c r="A13" s="56">
        <v>3</v>
      </c>
      <c r="B13" s="36" t="s">
        <v>63</v>
      </c>
      <c r="C13" s="29">
        <v>0</v>
      </c>
      <c r="D13" s="29"/>
      <c r="E13" s="29"/>
      <c r="F13" s="29"/>
      <c r="G13" s="30"/>
      <c r="H13" s="46"/>
      <c r="I13" s="17"/>
      <c r="J13" s="34"/>
    </row>
    <row r="14" spans="1:10" ht="18" customHeight="1" x14ac:dyDescent="0.2">
      <c r="A14" s="56">
        <v>4</v>
      </c>
      <c r="B14" s="36" t="s">
        <v>68</v>
      </c>
      <c r="C14" s="29">
        <v>0</v>
      </c>
      <c r="D14" s="29"/>
      <c r="E14" s="27"/>
      <c r="F14" s="27"/>
      <c r="G14" s="30"/>
      <c r="H14" s="46"/>
      <c r="I14" s="17"/>
      <c r="J14" s="34"/>
    </row>
    <row r="15" spans="1:10" ht="18" customHeight="1" thickBot="1" x14ac:dyDescent="0.25">
      <c r="A15" s="57">
        <v>5</v>
      </c>
      <c r="B15" s="58" t="s">
        <v>69</v>
      </c>
      <c r="C15" s="59"/>
      <c r="D15" s="59"/>
      <c r="E15" s="59"/>
      <c r="F15" s="59"/>
      <c r="G15" s="60"/>
      <c r="H15" s="48"/>
      <c r="I15" s="17"/>
      <c r="J15" s="34"/>
    </row>
    <row r="16" spans="1:10" ht="18" customHeight="1" thickTop="1" thickBot="1" x14ac:dyDescent="0.25">
      <c r="A16" s="100"/>
      <c r="B16" s="101"/>
      <c r="C16" s="102"/>
      <c r="D16" s="102"/>
      <c r="E16" s="75" t="s">
        <v>82</v>
      </c>
      <c r="F16" s="115">
        <f>SUM(F11:F15)</f>
        <v>693</v>
      </c>
      <c r="G16" s="88">
        <f>SUM(G11:G15)</f>
        <v>212404500</v>
      </c>
      <c r="H16" s="103"/>
      <c r="I16" s="17"/>
      <c r="J16" s="34"/>
    </row>
    <row r="17" spans="1:10" ht="16.899999999999999" customHeight="1" thickTop="1" thickBot="1" x14ac:dyDescent="0.25">
      <c r="A17" s="104" t="s">
        <v>66</v>
      </c>
      <c r="B17" s="43"/>
      <c r="C17" s="43"/>
      <c r="D17" s="43"/>
      <c r="E17" s="43"/>
      <c r="F17" s="43"/>
      <c r="G17" s="43"/>
      <c r="H17" s="105"/>
      <c r="I17" s="26"/>
      <c r="J17" s="34"/>
    </row>
    <row r="18" spans="1:10" ht="23.25" customHeight="1" thickTop="1" x14ac:dyDescent="0.2">
      <c r="A18" s="49" t="s">
        <v>51</v>
      </c>
      <c r="B18" s="39" t="s">
        <v>72</v>
      </c>
      <c r="C18" s="40" t="s">
        <v>52</v>
      </c>
      <c r="D18" s="41" t="s">
        <v>53</v>
      </c>
      <c r="E18" s="41" t="s">
        <v>54</v>
      </c>
      <c r="F18" s="41" t="s">
        <v>55</v>
      </c>
      <c r="G18" s="42" t="s">
        <v>71</v>
      </c>
      <c r="H18" s="44" t="s">
        <v>73</v>
      </c>
      <c r="I18" s="16"/>
      <c r="J18" s="34"/>
    </row>
    <row r="19" spans="1:10" ht="18" customHeight="1" x14ac:dyDescent="0.2">
      <c r="A19" s="50">
        <v>1</v>
      </c>
      <c r="B19" s="37" t="s">
        <v>75</v>
      </c>
      <c r="C19" s="27">
        <f>_xlfn.XLOOKUP(H1,'INTER DATA'!G:G,'INTER DATA'!AC:AC)</f>
        <v>10.5</v>
      </c>
      <c r="D19" s="27" t="s">
        <v>56</v>
      </c>
      <c r="E19" s="27">
        <f>_xlfn.XLOOKUP(H1,'INTER DATA'!G:G,'INTER DATA'!AJ:AJ)</f>
        <v>9800000</v>
      </c>
      <c r="F19" s="27">
        <f>E19*C19</f>
        <v>102900000</v>
      </c>
      <c r="G19" s="29">
        <f>_xlfn.XLOOKUP(H1,'INTER DATA'!G:G,'INTER DATA'!AK:AK)</f>
        <v>102900000</v>
      </c>
      <c r="H19" s="46"/>
      <c r="I19" s="17"/>
      <c r="J19" s="34"/>
    </row>
    <row r="20" spans="1:10" ht="18" customHeight="1" x14ac:dyDescent="0.2">
      <c r="A20" s="51">
        <v>2</v>
      </c>
      <c r="B20" s="37" t="s">
        <v>76</v>
      </c>
      <c r="C20" s="29">
        <v>0</v>
      </c>
      <c r="D20" s="29"/>
      <c r="E20" s="29"/>
      <c r="F20" s="29">
        <f>_xlfn.XLOOKUP(H1,'INTER DATA'!G:G,'INTER DATA'!AI:AI)</f>
        <v>0</v>
      </c>
      <c r="G20" s="29">
        <f>F20</f>
        <v>0</v>
      </c>
      <c r="H20" s="46"/>
      <c r="I20" s="17"/>
      <c r="J20" s="34"/>
    </row>
    <row r="21" spans="1:10" ht="18" customHeight="1" x14ac:dyDescent="0.2">
      <c r="A21" s="51">
        <v>3</v>
      </c>
      <c r="B21" s="37" t="s">
        <v>57</v>
      </c>
      <c r="C21" s="29">
        <v>0</v>
      </c>
      <c r="D21" s="29"/>
      <c r="E21" s="27"/>
      <c r="F21" s="27"/>
      <c r="G21" s="30"/>
      <c r="H21" s="46"/>
      <c r="I21" s="17"/>
      <c r="J21" s="34"/>
    </row>
    <row r="22" spans="1:10" ht="18" customHeight="1" x14ac:dyDescent="0.2">
      <c r="A22" s="51">
        <v>4</v>
      </c>
      <c r="B22" s="37" t="s">
        <v>74</v>
      </c>
      <c r="C22" s="29">
        <v>0</v>
      </c>
      <c r="D22" s="29"/>
      <c r="E22" s="27"/>
      <c r="F22" s="27"/>
      <c r="G22" s="30"/>
      <c r="H22" s="46"/>
      <c r="I22" s="17"/>
      <c r="J22" s="34"/>
    </row>
    <row r="23" spans="1:10" ht="18" customHeight="1" thickBot="1" x14ac:dyDescent="0.25">
      <c r="A23" s="52">
        <v>5</v>
      </c>
      <c r="B23" s="47" t="s">
        <v>69</v>
      </c>
      <c r="C23" s="47"/>
      <c r="D23" s="47"/>
      <c r="E23" s="47"/>
      <c r="F23" s="47"/>
      <c r="G23" s="47"/>
      <c r="H23" s="48"/>
      <c r="I23" s="38"/>
      <c r="J23" s="34"/>
    </row>
    <row r="24" spans="1:10" ht="18" customHeight="1" thickTop="1" thickBot="1" x14ac:dyDescent="0.25">
      <c r="A24" s="106"/>
      <c r="B24" s="74"/>
      <c r="C24" s="54"/>
      <c r="D24" s="31"/>
      <c r="E24" s="75" t="s">
        <v>83</v>
      </c>
      <c r="F24" s="136">
        <f>SUM(F19:F23)</f>
        <v>102900000</v>
      </c>
      <c r="G24" s="88">
        <f>SUM(G19:G23)</f>
        <v>102900000</v>
      </c>
      <c r="H24" s="107"/>
      <c r="I24" s="31"/>
      <c r="J24" s="34"/>
    </row>
    <row r="25" spans="1:10" ht="14.45" customHeight="1" thickTop="1" x14ac:dyDescent="0.2">
      <c r="A25" s="108"/>
      <c r="B25" s="53"/>
      <c r="C25" s="53"/>
      <c r="D25" s="53"/>
      <c r="E25" s="53"/>
      <c r="F25" s="101"/>
      <c r="G25" s="101"/>
      <c r="H25" s="109"/>
      <c r="I25" s="19"/>
      <c r="J25" s="34"/>
    </row>
    <row r="26" spans="1:10" ht="14.45" customHeight="1" x14ac:dyDescent="0.2">
      <c r="A26" s="108"/>
      <c r="B26" s="53"/>
      <c r="C26" s="53"/>
      <c r="D26" s="53"/>
      <c r="E26" s="53"/>
      <c r="F26" s="116" t="s">
        <v>84</v>
      </c>
      <c r="G26" s="117">
        <f>G24+G16</f>
        <v>315304500</v>
      </c>
      <c r="H26" s="110"/>
      <c r="I26" s="20"/>
      <c r="J26" s="34"/>
    </row>
    <row r="27" spans="1:10" ht="21.6" customHeight="1" thickBot="1" x14ac:dyDescent="0.25">
      <c r="A27" s="111" t="s">
        <v>58</v>
      </c>
      <c r="B27" s="219" t="s">
        <v>94</v>
      </c>
      <c r="C27" s="219"/>
      <c r="D27" s="219"/>
      <c r="E27" s="219"/>
      <c r="F27" s="219"/>
      <c r="G27" s="219"/>
      <c r="H27" s="220"/>
      <c r="I27" s="21"/>
      <c r="J27" s="34"/>
    </row>
    <row r="28" spans="1:10" ht="18" customHeight="1" thickTop="1" x14ac:dyDescent="0.2">
      <c r="A28" s="53"/>
      <c r="B28" s="53"/>
      <c r="C28" s="53"/>
      <c r="D28" s="53"/>
      <c r="E28" s="53"/>
      <c r="F28" s="53"/>
      <c r="G28" s="53"/>
      <c r="H28" s="53"/>
    </row>
  </sheetData>
  <mergeCells count="1">
    <mergeCell ref="B27:H27"/>
  </mergeCells>
  <pageMargins left="0.25" right="0.23" top="0.41" bottom="0.75" header="0.4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EA3D7-8EBD-44E5-AC48-A39F61A6C9D1}">
  <dimension ref="A1:J28"/>
  <sheetViews>
    <sheetView rightToLeft="1" workbookViewId="0">
      <selection activeCell="H1" sqref="H1"/>
    </sheetView>
  </sheetViews>
  <sheetFormatPr defaultRowHeight="18" customHeight="1" x14ac:dyDescent="0.2"/>
  <cols>
    <col min="1" max="1" width="11.56640625" customWidth="1"/>
    <col min="2" max="2" width="27.3046875" customWidth="1"/>
    <col min="3" max="3" width="7.12890625" customWidth="1"/>
    <col min="4" max="4" width="10.89453125" customWidth="1"/>
    <col min="5" max="5" width="15.87109375" bestFit="1" customWidth="1"/>
    <col min="6" max="6" width="16.8125" customWidth="1"/>
    <col min="7" max="7" width="16.6796875" customWidth="1"/>
    <col min="8" max="8" width="28.25" customWidth="1"/>
    <col min="9" max="9" width="3.359375" hidden="1" customWidth="1"/>
  </cols>
  <sheetData>
    <row r="1" spans="1:10" ht="16.149999999999999" customHeight="1" thickTop="1" thickBot="1" x14ac:dyDescent="0.25">
      <c r="A1" s="18"/>
      <c r="B1" s="18"/>
      <c r="C1" s="18"/>
      <c r="D1" s="18"/>
      <c r="E1" s="81" t="s">
        <v>85</v>
      </c>
      <c r="F1" s="146" t="s">
        <v>156</v>
      </c>
      <c r="G1" s="81" t="s">
        <v>86</v>
      </c>
      <c r="H1" s="145" t="s">
        <v>147</v>
      </c>
    </row>
    <row r="2" spans="1:10" ht="14.45" customHeight="1" thickTop="1" thickBot="1" x14ac:dyDescent="0.25">
      <c r="A2" s="33" t="s">
        <v>48</v>
      </c>
      <c r="B2" s="33"/>
      <c r="C2" s="33"/>
      <c r="D2" s="33"/>
      <c r="E2" s="33"/>
      <c r="F2" s="33"/>
      <c r="G2" s="33"/>
      <c r="H2" s="144"/>
      <c r="I2" s="33"/>
      <c r="J2" s="34"/>
    </row>
    <row r="3" spans="1:10" ht="18" customHeight="1" thickTop="1" x14ac:dyDescent="0.2">
      <c r="A3" s="121" t="s">
        <v>136</v>
      </c>
      <c r="B3" s="122" t="str">
        <f>_xlfn.XLOOKUP(H1,'INTER DATA'!G:G,'INTER DATA'!B:B)</f>
        <v>محمد رئیسی</v>
      </c>
      <c r="C3" s="66"/>
      <c r="D3" s="68"/>
      <c r="E3" s="69" t="s">
        <v>49</v>
      </c>
      <c r="F3" s="70"/>
      <c r="G3" s="70"/>
      <c r="H3" s="67"/>
      <c r="I3" s="22"/>
      <c r="J3" s="34"/>
    </row>
    <row r="4" spans="1:10" ht="18" customHeight="1" thickBot="1" x14ac:dyDescent="0.25">
      <c r="A4" s="71" t="s">
        <v>59</v>
      </c>
      <c r="B4" s="72"/>
      <c r="C4" s="72"/>
      <c r="D4" s="72"/>
      <c r="E4" s="72"/>
      <c r="F4" s="72"/>
      <c r="G4" s="72"/>
      <c r="H4" s="73"/>
      <c r="I4" s="32"/>
      <c r="J4" s="34"/>
    </row>
    <row r="5" spans="1:10" ht="27.75" customHeight="1" thickTop="1" thickBot="1" x14ac:dyDescent="0.25">
      <c r="A5" s="98" t="s">
        <v>50</v>
      </c>
      <c r="B5" s="26"/>
      <c r="C5" s="26"/>
      <c r="D5" s="26"/>
      <c r="E5" s="26"/>
      <c r="F5" s="26"/>
      <c r="G5" s="26"/>
      <c r="H5" s="99"/>
      <c r="I5" s="35"/>
      <c r="J5" s="34"/>
    </row>
    <row r="6" spans="1:10" ht="18" customHeight="1" thickTop="1" x14ac:dyDescent="0.2">
      <c r="A6" s="85" t="s">
        <v>78</v>
      </c>
      <c r="B6" s="79" t="s">
        <v>193</v>
      </c>
      <c r="C6" s="92"/>
      <c r="D6" s="82" t="s">
        <v>87</v>
      </c>
      <c r="E6" s="188">
        <f>_xlfn.XLOOKUP(H1,'INTER DATA'!G:G,'INTER DATA'!AC:AC)</f>
        <v>10.5</v>
      </c>
      <c r="F6" s="82" t="s">
        <v>90</v>
      </c>
      <c r="G6" s="95" t="str">
        <f>VLOOKUP(H1,'INTER DATA'!G:AY,2,FALSE)</f>
        <v>Oil Seal</v>
      </c>
      <c r="H6" s="76"/>
      <c r="I6" s="23"/>
      <c r="J6" s="34"/>
    </row>
    <row r="7" spans="1:10" ht="18" customHeight="1" x14ac:dyDescent="0.2">
      <c r="A7" s="86" t="s">
        <v>80</v>
      </c>
      <c r="B7" s="36" t="s">
        <v>81</v>
      </c>
      <c r="C7" s="93"/>
      <c r="D7" s="83" t="s">
        <v>115</v>
      </c>
      <c r="E7" s="90">
        <f>_xlfn.XLOOKUP(H1,'INTER DATA'!G:G,'INTER DATA'!M:M)*_xlfn.XLOOKUP(H1,'INTER DATA'!G:G,'INTER DATA'!N:N)*_xlfn.XLOOKUP(H1,'INTER DATA'!G:G,'INTER DATA'!O:O)</f>
        <v>25350</v>
      </c>
      <c r="F7" s="83" t="s">
        <v>89</v>
      </c>
      <c r="G7" s="80"/>
      <c r="H7" s="77"/>
      <c r="I7" s="24"/>
      <c r="J7" s="34"/>
    </row>
    <row r="8" spans="1:10" ht="18" customHeight="1" thickBot="1" x14ac:dyDescent="0.25">
      <c r="A8" s="87" t="s">
        <v>77</v>
      </c>
      <c r="B8" s="58" t="s">
        <v>60</v>
      </c>
      <c r="C8" s="94"/>
      <c r="D8" s="84" t="s">
        <v>88</v>
      </c>
      <c r="E8" s="187">
        <f>_xlfn.XLOOKUP(H1,'INTER DATA'!G:G,'INTER DATA'!P:P)</f>
        <v>5.07</v>
      </c>
      <c r="F8" s="84" t="s">
        <v>91</v>
      </c>
      <c r="G8" s="96">
        <f>_xlfn.XLOOKUP(H1,'INTER DATA'!G:G,'INTER DATA'!AB:AB)</f>
        <v>306500</v>
      </c>
      <c r="H8" s="78"/>
      <c r="I8" s="25"/>
      <c r="J8" s="34"/>
    </row>
    <row r="9" spans="1:10" ht="24" customHeight="1" thickTop="1" thickBot="1" x14ac:dyDescent="0.25">
      <c r="A9" s="98" t="s">
        <v>65</v>
      </c>
      <c r="B9" s="26"/>
      <c r="C9" s="26"/>
      <c r="D9" s="26"/>
      <c r="E9" s="26"/>
      <c r="F9" s="26"/>
      <c r="G9" s="26"/>
      <c r="H9" s="99"/>
      <c r="I9" s="26"/>
      <c r="J9" s="34"/>
    </row>
    <row r="10" spans="1:10" ht="24.75" customHeight="1" thickTop="1" x14ac:dyDescent="0.2">
      <c r="A10" s="61" t="s">
        <v>51</v>
      </c>
      <c r="B10" s="62" t="s">
        <v>64</v>
      </c>
      <c r="C10" s="63" t="s">
        <v>52</v>
      </c>
      <c r="D10" s="63" t="s">
        <v>53</v>
      </c>
      <c r="E10" s="63" t="s">
        <v>54</v>
      </c>
      <c r="F10" s="63" t="s">
        <v>70</v>
      </c>
      <c r="G10" s="154" t="s">
        <v>71</v>
      </c>
      <c r="H10" s="65" t="s">
        <v>73</v>
      </c>
      <c r="I10" s="16"/>
      <c r="J10" s="34"/>
    </row>
    <row r="11" spans="1:10" ht="18" customHeight="1" x14ac:dyDescent="0.2">
      <c r="A11" s="55">
        <v>1</v>
      </c>
      <c r="B11" s="36" t="s">
        <v>79</v>
      </c>
      <c r="C11" s="97">
        <f>_xlfn.XLOOKUP(H1,'INTER DATA'!G:G,'INTER DATA'!AD:AD)</f>
        <v>10.5</v>
      </c>
      <c r="D11" s="27" t="s">
        <v>56</v>
      </c>
      <c r="E11" s="97">
        <f>VLOOKUP(H1,'INTER DATA'!G:AY,25,FALSE)</f>
        <v>66</v>
      </c>
      <c r="F11" s="97">
        <f>C11*E11</f>
        <v>693</v>
      </c>
      <c r="G11" s="28">
        <f>F11*G8</f>
        <v>212404500</v>
      </c>
      <c r="H11" s="45"/>
      <c r="I11" s="17"/>
      <c r="J11" s="34"/>
    </row>
    <row r="12" spans="1:10" ht="18" customHeight="1" x14ac:dyDescent="0.2">
      <c r="A12" s="56">
        <v>2</v>
      </c>
      <c r="B12" s="36" t="s">
        <v>67</v>
      </c>
      <c r="C12" s="97">
        <v>1</v>
      </c>
      <c r="D12" s="29" t="s">
        <v>145</v>
      </c>
      <c r="E12" s="97">
        <f>_xlfn.XLOOKUP(H1,'INTER DATA'!G:G,'INTER DATA'!AF:AF)</f>
        <v>0</v>
      </c>
      <c r="F12" s="97">
        <f>E12*G8</f>
        <v>0</v>
      </c>
      <c r="G12" s="28">
        <f>F12</f>
        <v>0</v>
      </c>
      <c r="H12" s="46"/>
      <c r="I12" s="17"/>
      <c r="J12" s="34"/>
    </row>
    <row r="13" spans="1:10" ht="18" customHeight="1" x14ac:dyDescent="0.2">
      <c r="A13" s="56">
        <v>3</v>
      </c>
      <c r="B13" s="36" t="s">
        <v>63</v>
      </c>
      <c r="C13" s="97">
        <v>0</v>
      </c>
      <c r="D13" s="29"/>
      <c r="E13" s="29"/>
      <c r="F13" s="29"/>
      <c r="G13" s="30"/>
      <c r="H13" s="46"/>
      <c r="I13" s="17"/>
      <c r="J13" s="34"/>
    </row>
    <row r="14" spans="1:10" ht="18" customHeight="1" x14ac:dyDescent="0.2">
      <c r="A14" s="56">
        <v>4</v>
      </c>
      <c r="B14" s="36" t="s">
        <v>68</v>
      </c>
      <c r="C14" s="97">
        <v>0</v>
      </c>
      <c r="D14" s="29"/>
      <c r="E14" s="27"/>
      <c r="F14" s="27"/>
      <c r="G14" s="30"/>
      <c r="H14" s="46"/>
      <c r="I14" s="17"/>
      <c r="J14" s="34"/>
    </row>
    <row r="15" spans="1:10" ht="18" customHeight="1" thickBot="1" x14ac:dyDescent="0.25">
      <c r="A15" s="57">
        <v>5</v>
      </c>
      <c r="B15" s="58" t="s">
        <v>133</v>
      </c>
      <c r="C15" s="155">
        <v>0</v>
      </c>
      <c r="D15" s="27"/>
      <c r="E15" s="97"/>
      <c r="F15" s="97"/>
      <c r="G15" s="28"/>
      <c r="H15" s="48"/>
      <c r="I15" s="17"/>
      <c r="J15" s="34"/>
    </row>
    <row r="16" spans="1:10" ht="18" customHeight="1" thickTop="1" thickBot="1" x14ac:dyDescent="0.25">
      <c r="A16" s="100"/>
      <c r="B16" s="101"/>
      <c r="C16" s="156"/>
      <c r="D16" s="102"/>
      <c r="E16" s="75" t="s">
        <v>82</v>
      </c>
      <c r="F16" s="115">
        <f>SUM(F11:F15)</f>
        <v>693</v>
      </c>
      <c r="G16" s="88">
        <f>SUM(G11:G15)</f>
        <v>212404500</v>
      </c>
      <c r="H16" s="103"/>
      <c r="I16" s="17"/>
      <c r="J16" s="34"/>
    </row>
    <row r="17" spans="1:10" ht="16.899999999999999" customHeight="1" thickTop="1" thickBot="1" x14ac:dyDescent="0.25">
      <c r="A17" s="104" t="s">
        <v>66</v>
      </c>
      <c r="B17" s="43"/>
      <c r="C17" s="43"/>
      <c r="D17" s="43"/>
      <c r="E17" s="43"/>
      <c r="F17" s="43"/>
      <c r="G17" s="43"/>
      <c r="H17" s="105"/>
      <c r="I17" s="26"/>
      <c r="J17" s="34"/>
    </row>
    <row r="18" spans="1:10" ht="23.25" customHeight="1" thickTop="1" x14ac:dyDescent="0.2">
      <c r="A18" s="49" t="s">
        <v>51</v>
      </c>
      <c r="B18" s="39" t="s">
        <v>72</v>
      </c>
      <c r="C18" s="40" t="s">
        <v>52</v>
      </c>
      <c r="D18" s="41" t="s">
        <v>53</v>
      </c>
      <c r="E18" s="41" t="s">
        <v>54</v>
      </c>
      <c r="F18" s="41" t="s">
        <v>55</v>
      </c>
      <c r="G18" s="153" t="s">
        <v>71</v>
      </c>
      <c r="H18" s="44" t="s">
        <v>73</v>
      </c>
      <c r="I18" s="16"/>
      <c r="J18" s="34"/>
    </row>
    <row r="19" spans="1:10" ht="18" customHeight="1" x14ac:dyDescent="0.2">
      <c r="A19" s="50">
        <v>1</v>
      </c>
      <c r="B19" s="37" t="s">
        <v>75</v>
      </c>
      <c r="C19" s="97">
        <f>_xlfn.XLOOKUP(H1,'INTER DATA'!G:G,'INTER DATA'!AC:AC)</f>
        <v>10.5</v>
      </c>
      <c r="D19" s="27" t="s">
        <v>56</v>
      </c>
      <c r="E19" s="27">
        <f>_xlfn.XLOOKUP(H1,'INTER DATA'!G:G,'INTER DATA'!AJ:AJ)</f>
        <v>9800000</v>
      </c>
      <c r="F19" s="27">
        <f>E19*C19</f>
        <v>102900000</v>
      </c>
      <c r="G19" s="27">
        <f>_xlfn.XLOOKUP(H1,'INTER DATA'!G:G,'INTER DATA'!AK:AK)</f>
        <v>102900000</v>
      </c>
      <c r="H19" s="46"/>
      <c r="I19" s="17"/>
      <c r="J19" s="34"/>
    </row>
    <row r="20" spans="1:10" ht="18" customHeight="1" x14ac:dyDescent="0.2">
      <c r="A20" s="51">
        <v>2</v>
      </c>
      <c r="B20" s="37" t="s">
        <v>76</v>
      </c>
      <c r="C20" s="97">
        <v>1</v>
      </c>
      <c r="D20" s="27" t="s">
        <v>145</v>
      </c>
      <c r="E20" s="27">
        <f>F20</f>
        <v>0</v>
      </c>
      <c r="F20" s="27">
        <f>_xlfn.XLOOKUP(H1,'INTER DATA'!G:G,'INTER DATA'!AI:AI)</f>
        <v>0</v>
      </c>
      <c r="G20" s="27">
        <f>F20</f>
        <v>0</v>
      </c>
      <c r="H20" s="46"/>
      <c r="I20" s="17"/>
      <c r="J20" s="34"/>
    </row>
    <row r="21" spans="1:10" ht="18" customHeight="1" x14ac:dyDescent="0.2">
      <c r="A21" s="51">
        <v>3</v>
      </c>
      <c r="B21" s="37" t="s">
        <v>57</v>
      </c>
      <c r="C21" s="97">
        <v>0</v>
      </c>
      <c r="D21" s="27"/>
      <c r="E21" s="27"/>
      <c r="F21" s="27"/>
      <c r="G21" s="27"/>
      <c r="H21" s="46"/>
      <c r="I21" s="17"/>
      <c r="J21" s="34"/>
    </row>
    <row r="22" spans="1:10" ht="18" customHeight="1" x14ac:dyDescent="0.2">
      <c r="A22" s="51">
        <v>4</v>
      </c>
      <c r="B22" s="37" t="s">
        <v>74</v>
      </c>
      <c r="C22" s="97">
        <v>0</v>
      </c>
      <c r="D22" s="27"/>
      <c r="E22" s="27"/>
      <c r="F22" s="27"/>
      <c r="G22" s="27"/>
      <c r="H22" s="46"/>
      <c r="I22" s="17"/>
      <c r="J22" s="34"/>
    </row>
    <row r="23" spans="1:10" ht="18" customHeight="1" thickBot="1" x14ac:dyDescent="0.25">
      <c r="A23" s="52">
        <v>5</v>
      </c>
      <c r="B23" s="47" t="s">
        <v>134</v>
      </c>
      <c r="C23" s="97"/>
      <c r="D23" s="27"/>
      <c r="E23" s="27"/>
      <c r="F23" s="27">
        <f>E23*C23</f>
        <v>0</v>
      </c>
      <c r="G23" s="27">
        <f>F23*G8</f>
        <v>0</v>
      </c>
      <c r="H23" s="48"/>
      <c r="I23" s="38"/>
      <c r="J23" s="34"/>
    </row>
    <row r="24" spans="1:10" ht="18" customHeight="1" thickTop="1" thickBot="1" x14ac:dyDescent="0.25">
      <c r="A24" s="106"/>
      <c r="B24" s="74"/>
      <c r="C24" s="54"/>
      <c r="D24" s="31"/>
      <c r="E24" s="75" t="s">
        <v>83</v>
      </c>
      <c r="F24" s="115">
        <f>SUM(F19:F23)</f>
        <v>102900000</v>
      </c>
      <c r="G24" s="148">
        <f>SUM(G19:G23)</f>
        <v>102900000</v>
      </c>
      <c r="H24" s="107"/>
      <c r="I24" s="31"/>
      <c r="J24" s="34"/>
    </row>
    <row r="25" spans="1:10" ht="14.45" customHeight="1" thickTop="1" x14ac:dyDescent="0.2">
      <c r="A25" s="108"/>
      <c r="B25" s="53"/>
      <c r="C25" s="53"/>
      <c r="D25" s="53"/>
      <c r="E25" s="53"/>
      <c r="F25" s="101"/>
      <c r="G25" s="117"/>
      <c r="H25" s="109"/>
      <c r="I25" s="19"/>
      <c r="J25" s="34"/>
    </row>
    <row r="26" spans="1:10" ht="14.45" customHeight="1" x14ac:dyDescent="0.2">
      <c r="A26" s="108"/>
      <c r="B26" s="53"/>
      <c r="C26" s="53"/>
      <c r="D26" s="53"/>
      <c r="E26" s="221" t="s">
        <v>119</v>
      </c>
      <c r="F26" s="222"/>
      <c r="G26" s="147">
        <f>G24+G16</f>
        <v>315304500</v>
      </c>
      <c r="H26" s="110"/>
      <c r="I26" s="20"/>
      <c r="J26" s="34"/>
    </row>
    <row r="27" spans="1:10" ht="18" customHeight="1" thickBot="1" x14ac:dyDescent="0.25">
      <c r="A27" s="111" t="s">
        <v>58</v>
      </c>
      <c r="B27" s="112" t="s">
        <v>92</v>
      </c>
      <c r="C27" s="113"/>
      <c r="D27" s="113"/>
      <c r="E27" s="113"/>
      <c r="F27" s="113"/>
      <c r="G27" s="113"/>
      <c r="H27" s="114"/>
      <c r="I27" s="21"/>
      <c r="J27" s="34"/>
    </row>
    <row r="28" spans="1:10" ht="18" customHeight="1" thickTop="1" x14ac:dyDescent="0.2">
      <c r="A28" s="53"/>
      <c r="B28" s="53"/>
      <c r="C28" s="53"/>
      <c r="D28" s="53"/>
      <c r="E28" s="53"/>
      <c r="F28" s="53"/>
      <c r="G28" s="53"/>
      <c r="H28" s="53"/>
    </row>
  </sheetData>
  <mergeCells count="1">
    <mergeCell ref="E26:F26"/>
  </mergeCells>
  <pageMargins left="0.25" right="0.23" top="0.41" bottom="0.75" header="0.4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A041A-0082-47E4-92AD-E9A286E75FD4}">
  <dimension ref="A1:L31"/>
  <sheetViews>
    <sheetView workbookViewId="0">
      <selection activeCell="A2" sqref="A2"/>
    </sheetView>
  </sheetViews>
  <sheetFormatPr defaultColWidth="9.14453125" defaultRowHeight="15" x14ac:dyDescent="0.2"/>
  <cols>
    <col min="1" max="1" width="19.37109375" style="9" customWidth="1"/>
    <col min="2" max="2" width="14.125" style="9" customWidth="1"/>
    <col min="3" max="3" width="9.55078125" style="9" bestFit="1" customWidth="1"/>
    <col min="4" max="4" width="17.21875" style="9" bestFit="1" customWidth="1"/>
    <col min="5" max="5" width="15.19921875" style="9" bestFit="1" customWidth="1"/>
    <col min="6" max="6" width="24.88671875" style="9" customWidth="1"/>
    <col min="7" max="7" width="17.75390625" style="9" bestFit="1" customWidth="1"/>
    <col min="8" max="8" width="16.140625" style="9" customWidth="1"/>
    <col min="9" max="9" width="16.54296875" style="9" customWidth="1"/>
    <col min="10" max="10" width="13.85546875" style="9" customWidth="1"/>
    <col min="11" max="11" width="11.97265625" style="9" bestFit="1" customWidth="1"/>
    <col min="12" max="16384" width="9.14453125" style="9"/>
  </cols>
  <sheetData>
    <row r="1" spans="1:12" x14ac:dyDescent="0.2">
      <c r="A1" s="138" t="s">
        <v>39</v>
      </c>
      <c r="D1" s="118" t="s">
        <v>27</v>
      </c>
      <c r="E1" s="5" t="s">
        <v>20</v>
      </c>
      <c r="F1" s="5" t="s">
        <v>19</v>
      </c>
      <c r="G1" s="5" t="s">
        <v>113</v>
      </c>
      <c r="H1" s="5" t="s">
        <v>36</v>
      </c>
      <c r="I1" s="5" t="s">
        <v>28</v>
      </c>
      <c r="J1" s="5" t="s">
        <v>43</v>
      </c>
      <c r="K1" s="5" t="s">
        <v>12</v>
      </c>
    </row>
    <row r="2" spans="1:12" x14ac:dyDescent="0.2">
      <c r="A2" s="138" t="s">
        <v>118</v>
      </c>
      <c r="D2" s="9" cm="1">
        <f t="array" ref="D2:L3">_xlfn._xlws.FILTER('INTER DATA'!AL:AT,'INTER DATA'!B:B='CUSTOMER REPORT'!A2)</f>
        <v>315304500</v>
      </c>
      <c r="E2" s="9">
        <v>46257</v>
      </c>
      <c r="F2" s="9">
        <v>0</v>
      </c>
      <c r="G2" s="9">
        <v>0</v>
      </c>
      <c r="H2" s="9">
        <v>315304500</v>
      </c>
      <c r="I2" s="9">
        <v>0</v>
      </c>
      <c r="J2" s="9">
        <v>0</v>
      </c>
      <c r="K2" s="9">
        <v>0</v>
      </c>
      <c r="L2" s="9">
        <v>0</v>
      </c>
    </row>
    <row r="3" spans="1:12" x14ac:dyDescent="0.2">
      <c r="D3" s="9">
        <v>307157000</v>
      </c>
      <c r="E3" s="9">
        <v>46257</v>
      </c>
      <c r="F3" s="9">
        <v>0</v>
      </c>
      <c r="G3" s="9">
        <v>0</v>
      </c>
      <c r="H3" s="9">
        <v>307157000</v>
      </c>
      <c r="I3" s="9">
        <v>0</v>
      </c>
      <c r="J3" s="9">
        <v>0</v>
      </c>
      <c r="K3" s="9">
        <v>0</v>
      </c>
      <c r="L3" s="9">
        <v>0</v>
      </c>
    </row>
    <row r="7" spans="1:12" x14ac:dyDescent="0.2">
      <c r="A7" s="141" t="s">
        <v>114</v>
      </c>
      <c r="B7" s="141">
        <f>SUMIF('INTER DATA'!B:B,'CUSTOMER REPORT'!A2,'INTER DATA'!AL:AL)</f>
        <v>622461500</v>
      </c>
    </row>
    <row r="8" spans="1:12" x14ac:dyDescent="0.2">
      <c r="A8" s="141" t="s">
        <v>142</v>
      </c>
      <c r="B8" s="141">
        <f>SUMIF('INTER DATA'!B:B,'CUSTOMER REPORT'!A2,'INTER DATA'!AN:AN)+SUMIF('INTER DATA'!B:B,'CUSTOMER REPORT'!A2,'INTER DATA'!AO:AO)</f>
        <v>0</v>
      </c>
    </row>
    <row r="9" spans="1:12" x14ac:dyDescent="0.2">
      <c r="A9" s="141" t="s">
        <v>143</v>
      </c>
      <c r="B9" s="141">
        <f>SUMIF('ACOUNT '!G:G,'CUSTOMER REPORT'!A2,'ACOUNT '!E:E)</f>
        <v>50000000</v>
      </c>
    </row>
    <row r="11" spans="1:12" x14ac:dyDescent="0.2">
      <c r="A11" s="9" t="s">
        <v>36</v>
      </c>
      <c r="B11" s="137">
        <f>B7-B8-B9</f>
        <v>572461500</v>
      </c>
    </row>
    <row r="18" spans="1:2" x14ac:dyDescent="0.2">
      <c r="A18"/>
      <c r="B18"/>
    </row>
    <row r="19" spans="1:2" x14ac:dyDescent="0.2">
      <c r="A19"/>
      <c r="B19"/>
    </row>
    <row r="20" spans="1:2" x14ac:dyDescent="0.2">
      <c r="A20"/>
      <c r="B20"/>
    </row>
    <row r="21" spans="1:2" x14ac:dyDescent="0.2">
      <c r="A21"/>
      <c r="B21"/>
    </row>
    <row r="22" spans="1:2" x14ac:dyDescent="0.2">
      <c r="A22"/>
      <c r="B22"/>
    </row>
    <row r="23" spans="1:2" x14ac:dyDescent="0.2">
      <c r="A23"/>
      <c r="B23"/>
    </row>
    <row r="24" spans="1:2" x14ac:dyDescent="0.2">
      <c r="A24"/>
      <c r="B24"/>
    </row>
    <row r="25" spans="1:2" x14ac:dyDescent="0.2">
      <c r="A25"/>
      <c r="B25"/>
    </row>
    <row r="26" spans="1:2" x14ac:dyDescent="0.2">
      <c r="A26"/>
      <c r="B26"/>
    </row>
    <row r="27" spans="1:2" x14ac:dyDescent="0.2">
      <c r="A27"/>
      <c r="B27"/>
    </row>
    <row r="28" spans="1:2" x14ac:dyDescent="0.2">
      <c r="A28"/>
      <c r="B28"/>
    </row>
    <row r="29" spans="1:2" x14ac:dyDescent="0.2">
      <c r="A29"/>
      <c r="B29"/>
    </row>
    <row r="30" spans="1:2" x14ac:dyDescent="0.2">
      <c r="A30"/>
      <c r="B30"/>
    </row>
    <row r="31" spans="1:2" x14ac:dyDescent="0.2">
      <c r="A31"/>
      <c r="B31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E2290AF-439F-4141-B078-52A0358F4C6E}">
          <x14:formula1>
            <xm:f>'CUSTOMER LIST &amp; TRACKING'!$A:$A</xm:f>
          </x14:formula1>
          <xm:sqref>A2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0B6CC-31B8-4492-B875-B5FEB4520026}">
  <dimension ref="A1:D40"/>
  <sheetViews>
    <sheetView workbookViewId="0">
      <selection activeCell="A3" sqref="A3"/>
    </sheetView>
  </sheetViews>
  <sheetFormatPr defaultRowHeight="15" x14ac:dyDescent="0.2"/>
  <cols>
    <col min="1" max="1" width="18.16015625" customWidth="1"/>
    <col min="4" max="4" width="30.53515625" bestFit="1" customWidth="1"/>
  </cols>
  <sheetData>
    <row r="1" spans="1:4" x14ac:dyDescent="0.2">
      <c r="A1" s="139" t="s">
        <v>1</v>
      </c>
      <c r="D1" t="s">
        <v>120</v>
      </c>
    </row>
    <row r="2" spans="1:4" x14ac:dyDescent="0.2">
      <c r="A2" s="140" t="s">
        <v>118</v>
      </c>
      <c r="D2" t="s">
        <v>44</v>
      </c>
    </row>
    <row r="3" spans="1:4" x14ac:dyDescent="0.2">
      <c r="A3" s="140"/>
      <c r="D3" t="s">
        <v>131</v>
      </c>
    </row>
    <row r="4" spans="1:4" x14ac:dyDescent="0.2">
      <c r="A4" s="140"/>
      <c r="D4" t="s">
        <v>127</v>
      </c>
    </row>
    <row r="5" spans="1:4" x14ac:dyDescent="0.2">
      <c r="A5" s="140"/>
      <c r="D5" t="s">
        <v>130</v>
      </c>
    </row>
    <row r="6" spans="1:4" x14ac:dyDescent="0.2">
      <c r="A6" s="140"/>
      <c r="D6" t="s">
        <v>121</v>
      </c>
    </row>
    <row r="7" spans="1:4" x14ac:dyDescent="0.2">
      <c r="A7" s="140"/>
      <c r="D7" t="s">
        <v>122</v>
      </c>
    </row>
    <row r="8" spans="1:4" x14ac:dyDescent="0.2">
      <c r="A8" s="140"/>
      <c r="D8" t="s">
        <v>126</v>
      </c>
    </row>
    <row r="9" spans="1:4" x14ac:dyDescent="0.2">
      <c r="A9" s="140"/>
      <c r="D9" t="s">
        <v>128</v>
      </c>
    </row>
    <row r="10" spans="1:4" x14ac:dyDescent="0.2">
      <c r="A10" s="140"/>
      <c r="D10" t="s">
        <v>123</v>
      </c>
    </row>
    <row r="11" spans="1:4" x14ac:dyDescent="0.2">
      <c r="A11" s="140"/>
      <c r="D11" t="s">
        <v>132</v>
      </c>
    </row>
    <row r="12" spans="1:4" x14ac:dyDescent="0.2">
      <c r="A12" s="140"/>
      <c r="D12" t="s">
        <v>41</v>
      </c>
    </row>
    <row r="13" spans="1:4" x14ac:dyDescent="0.2">
      <c r="A13" s="140"/>
      <c r="D13" t="s">
        <v>124</v>
      </c>
    </row>
    <row r="14" spans="1:4" x14ac:dyDescent="0.2">
      <c r="A14" s="140"/>
      <c r="D14" t="s">
        <v>125</v>
      </c>
    </row>
    <row r="15" spans="1:4" x14ac:dyDescent="0.2">
      <c r="A15" s="140"/>
      <c r="D15" t="s">
        <v>129</v>
      </c>
    </row>
    <row r="16" spans="1:4" x14ac:dyDescent="0.2">
      <c r="A16" s="140"/>
      <c r="D16" t="s">
        <v>194</v>
      </c>
    </row>
    <row r="17" spans="1:1" x14ac:dyDescent="0.2">
      <c r="A17" s="140"/>
    </row>
    <row r="18" spans="1:1" x14ac:dyDescent="0.2">
      <c r="A18" s="140"/>
    </row>
    <row r="19" spans="1:1" x14ac:dyDescent="0.2">
      <c r="A19" s="140"/>
    </row>
    <row r="20" spans="1:1" x14ac:dyDescent="0.2">
      <c r="A20" s="140"/>
    </row>
    <row r="21" spans="1:1" x14ac:dyDescent="0.2">
      <c r="A21" s="140"/>
    </row>
    <row r="22" spans="1:1" x14ac:dyDescent="0.2">
      <c r="A22" s="140"/>
    </row>
    <row r="23" spans="1:1" x14ac:dyDescent="0.2">
      <c r="A23" s="140"/>
    </row>
    <row r="24" spans="1:1" x14ac:dyDescent="0.2">
      <c r="A24" s="140"/>
    </row>
    <row r="25" spans="1:1" x14ac:dyDescent="0.2">
      <c r="A25" s="140"/>
    </row>
    <row r="26" spans="1:1" x14ac:dyDescent="0.2">
      <c r="A26" s="140"/>
    </row>
    <row r="27" spans="1:1" x14ac:dyDescent="0.2">
      <c r="A27" s="140"/>
    </row>
    <row r="28" spans="1:1" x14ac:dyDescent="0.2">
      <c r="A28" s="140"/>
    </row>
    <row r="29" spans="1:1" x14ac:dyDescent="0.2">
      <c r="A29" s="140"/>
    </row>
    <row r="30" spans="1:1" x14ac:dyDescent="0.2">
      <c r="A30" s="140"/>
    </row>
    <row r="31" spans="1:1" x14ac:dyDescent="0.2">
      <c r="A31" s="140"/>
    </row>
    <row r="32" spans="1:1" x14ac:dyDescent="0.2">
      <c r="A32" s="140"/>
    </row>
    <row r="33" spans="1:1" x14ac:dyDescent="0.2">
      <c r="A33" s="140"/>
    </row>
    <row r="34" spans="1:1" x14ac:dyDescent="0.2">
      <c r="A34" s="140"/>
    </row>
    <row r="35" spans="1:1" x14ac:dyDescent="0.2">
      <c r="A35" s="140"/>
    </row>
    <row r="36" spans="1:1" x14ac:dyDescent="0.2">
      <c r="A36" s="140"/>
    </row>
    <row r="37" spans="1:1" x14ac:dyDescent="0.2">
      <c r="A37" s="140"/>
    </row>
    <row r="38" spans="1:1" x14ac:dyDescent="0.2">
      <c r="A38" s="140"/>
    </row>
    <row r="39" spans="1:1" x14ac:dyDescent="0.2">
      <c r="A39" s="140"/>
    </row>
    <row r="40" spans="1:1" x14ac:dyDescent="0.2">
      <c r="A40" s="140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305E-4AA5-4F38-8F16-BC497594DEFC}">
  <sheetPr codeName="Sheet5"/>
  <dimension ref="A1:Q139"/>
  <sheetViews>
    <sheetView workbookViewId="0">
      <pane xSplit="3" ySplit="1" topLeftCell="D2" activePane="bottomRight" state="frozen"/>
      <selection pane="bottomLeft" activeCell="A2" sqref="A2"/>
      <selection pane="topRight" activeCell="D1" sqref="D1"/>
      <selection pane="bottomRight" activeCell="L3" sqref="L3"/>
    </sheetView>
  </sheetViews>
  <sheetFormatPr defaultRowHeight="15" x14ac:dyDescent="0.2"/>
  <cols>
    <col min="1" max="1" width="8.47265625" bestFit="1" customWidth="1"/>
    <col min="2" max="2" width="13.046875" customWidth="1"/>
    <col min="3" max="3" width="12.10546875" customWidth="1"/>
    <col min="4" max="4" width="16.41015625" style="1" customWidth="1"/>
    <col min="5" max="5" width="14.52734375" style="1" customWidth="1"/>
    <col min="6" max="6" width="19.234375" style="1" customWidth="1"/>
    <col min="7" max="7" width="14.2578125" style="1" customWidth="1"/>
    <col min="8" max="8" width="13.44921875" customWidth="1"/>
    <col min="9" max="9" width="16.0078125" bestFit="1" customWidth="1"/>
    <col min="10" max="10" width="31.87890625" customWidth="1"/>
    <col min="11" max="11" width="28.515625" style="1" customWidth="1"/>
    <col min="12" max="12" width="10.0859375" style="1" customWidth="1"/>
    <col min="13" max="13" width="6.72265625" style="1" customWidth="1"/>
    <col min="14" max="14" width="11.1640625" style="1" customWidth="1"/>
    <col min="15" max="15" width="19.1015625" customWidth="1"/>
    <col min="16" max="16" width="15.19921875" customWidth="1"/>
    <col min="17" max="17" width="18.4296875" customWidth="1"/>
  </cols>
  <sheetData>
    <row r="1" spans="1:17" s="9" customFormat="1" x14ac:dyDescent="0.2">
      <c r="A1" s="7" t="s">
        <v>140</v>
      </c>
      <c r="B1" s="7" t="s">
        <v>13</v>
      </c>
      <c r="C1" s="7" t="s">
        <v>108</v>
      </c>
      <c r="D1" s="8" t="s">
        <v>107</v>
      </c>
      <c r="E1" s="8" t="s">
        <v>106</v>
      </c>
      <c r="F1" s="8" t="s">
        <v>15</v>
      </c>
      <c r="G1" s="8" t="s">
        <v>144</v>
      </c>
      <c r="H1" s="7" t="s">
        <v>14</v>
      </c>
      <c r="I1" s="7" t="s">
        <v>135</v>
      </c>
      <c r="J1" s="7" t="s">
        <v>111</v>
      </c>
      <c r="K1" s="8" t="s">
        <v>138</v>
      </c>
      <c r="L1" s="8" t="s">
        <v>139</v>
      </c>
      <c r="M1" s="8" t="s">
        <v>141</v>
      </c>
      <c r="N1" s="8" t="s">
        <v>91</v>
      </c>
      <c r="O1" s="8" t="s">
        <v>17</v>
      </c>
      <c r="P1" s="8" t="s">
        <v>18</v>
      </c>
      <c r="Q1" s="8" t="s">
        <v>16</v>
      </c>
    </row>
    <row r="2" spans="1:17" x14ac:dyDescent="0.2">
      <c r="A2" s="151">
        <v>1</v>
      </c>
      <c r="B2" t="s">
        <v>137</v>
      </c>
      <c r="C2" s="152" t="s">
        <v>34</v>
      </c>
      <c r="E2" s="11">
        <v>50000000</v>
      </c>
      <c r="F2" s="1" t="s">
        <v>45</v>
      </c>
      <c r="G2" s="1" t="s">
        <v>118</v>
      </c>
      <c r="H2" s="1" t="s">
        <v>110</v>
      </c>
      <c r="J2" s="1"/>
      <c r="L2" s="1" t="s">
        <v>37</v>
      </c>
      <c r="O2" s="1"/>
      <c r="P2" s="1"/>
      <c r="Q2" s="1"/>
    </row>
    <row r="3" spans="1:17" x14ac:dyDescent="0.2">
      <c r="A3" s="151">
        <v>29</v>
      </c>
      <c r="B3" t="s">
        <v>154</v>
      </c>
      <c r="C3" s="152" t="s">
        <v>109</v>
      </c>
      <c r="D3" s="11">
        <v>4700000</v>
      </c>
      <c r="E3" s="11"/>
      <c r="F3" s="1" t="s">
        <v>146</v>
      </c>
      <c r="G3" s="1" t="s">
        <v>151</v>
      </c>
      <c r="H3" s="1" t="s">
        <v>96</v>
      </c>
      <c r="I3" s="1" t="s">
        <v>116</v>
      </c>
      <c r="J3" s="1" t="s">
        <v>155</v>
      </c>
      <c r="K3" s="1" t="s">
        <v>152</v>
      </c>
      <c r="L3" s="1" t="s">
        <v>153</v>
      </c>
    </row>
    <row r="68" spans="2:14" x14ac:dyDescent="0.2">
      <c r="K68"/>
      <c r="L68"/>
    </row>
    <row r="69" spans="2:14" x14ac:dyDescent="0.2">
      <c r="K69"/>
      <c r="L69"/>
    </row>
    <row r="76" spans="2:14" x14ac:dyDescent="0.2">
      <c r="H76" s="1"/>
      <c r="J76" s="1"/>
      <c r="K76"/>
      <c r="L76"/>
    </row>
    <row r="79" spans="2:14" s="10" customFormat="1" x14ac:dyDescent="0.2">
      <c r="B79"/>
      <c r="C79"/>
      <c r="D79" s="1"/>
      <c r="E79" s="1"/>
      <c r="F79" s="1"/>
      <c r="G79" s="1"/>
      <c r="H79"/>
      <c r="I79"/>
      <c r="J79"/>
      <c r="K79" s="1"/>
      <c r="L79" s="1"/>
      <c r="M79" s="1"/>
      <c r="N79" s="1"/>
    </row>
    <row r="82" spans="8:12" x14ac:dyDescent="0.2">
      <c r="K82"/>
      <c r="L82"/>
    </row>
    <row r="83" spans="8:12" x14ac:dyDescent="0.2">
      <c r="K83"/>
      <c r="L83"/>
    </row>
    <row r="84" spans="8:12" x14ac:dyDescent="0.2">
      <c r="K84"/>
      <c r="L84"/>
    </row>
    <row r="90" spans="8:12" x14ac:dyDescent="0.2">
      <c r="H90" s="1"/>
      <c r="J90" s="1"/>
    </row>
    <row r="97" spans="11:12" x14ac:dyDescent="0.2">
      <c r="K97"/>
      <c r="L97"/>
    </row>
    <row r="100" spans="11:12" x14ac:dyDescent="0.2">
      <c r="K100"/>
      <c r="L100"/>
    </row>
    <row r="104" spans="11:12" x14ac:dyDescent="0.2">
      <c r="K104"/>
      <c r="L104"/>
    </row>
    <row r="110" spans="11:12" x14ac:dyDescent="0.2">
      <c r="K110"/>
      <c r="L110"/>
    </row>
    <row r="114" spans="11:12" x14ac:dyDescent="0.2">
      <c r="K114"/>
      <c r="L114"/>
    </row>
    <row r="117" spans="11:12" x14ac:dyDescent="0.2">
      <c r="K117"/>
      <c r="L117"/>
    </row>
    <row r="120" spans="11:12" x14ac:dyDescent="0.2">
      <c r="K120"/>
      <c r="L120"/>
    </row>
    <row r="121" spans="11:12" x14ac:dyDescent="0.2">
      <c r="K121"/>
      <c r="L121"/>
    </row>
    <row r="122" spans="11:12" x14ac:dyDescent="0.2">
      <c r="K122"/>
      <c r="L122"/>
    </row>
    <row r="123" spans="11:12" x14ac:dyDescent="0.2">
      <c r="K123"/>
      <c r="L123"/>
    </row>
    <row r="133" spans="8:10" x14ac:dyDescent="0.2">
      <c r="H133" s="1"/>
      <c r="J133" s="1"/>
    </row>
    <row r="134" spans="8:10" x14ac:dyDescent="0.2">
      <c r="H134" s="1"/>
      <c r="J134" s="1"/>
    </row>
    <row r="135" spans="8:10" x14ac:dyDescent="0.2">
      <c r="H135" s="1"/>
      <c r="J135" s="1"/>
    </row>
    <row r="136" spans="8:10" x14ac:dyDescent="0.2">
      <c r="H136" s="1"/>
      <c r="J136" s="1"/>
    </row>
    <row r="139" spans="8:10" x14ac:dyDescent="0.2">
      <c r="H139" s="1"/>
      <c r="J139" s="1"/>
    </row>
  </sheetData>
  <autoFilter ref="A1:Q3" xr:uid="{C0A2305E-4AA5-4F38-8F16-BC497594DEFC}"/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 /></Relationships>
</file>

<file path=customXml/item1.xml>��
</file>

<file path=customXml/itemProps1.xml><?xml version="1.0" encoding="utf-8"?>
<ds:datastoreItem xmlns:ds="http://schemas.openxmlformats.org/officeDocument/2006/customXml" ds:itemID="{CFFF3725-9DA0-4C15-B9E9-8AA3BE80E6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INTER DATA</vt:lpstr>
      <vt:lpstr>ENG Invoice</vt:lpstr>
      <vt:lpstr>Proforma</vt:lpstr>
      <vt:lpstr>Invoice</vt:lpstr>
      <vt:lpstr>CUSTOMER REPORT</vt:lpstr>
      <vt:lpstr>CUSTOMER LIST &amp; TRACKING</vt:lpstr>
      <vt:lpstr>ACOUNT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Ghorbanian</dc:creator>
  <cp:lastModifiedBy>Ghorban</cp:lastModifiedBy>
  <cp:lastPrinted>2026-08-23T15:33:43Z</cp:lastPrinted>
  <dcterms:created xsi:type="dcterms:W3CDTF">2025-04-05T11:08:36Z</dcterms:created>
  <dcterms:modified xsi:type="dcterms:W3CDTF">2026-08-29T10:24:26Z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</Properties>
</file>